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921" lockStructure="1"/>
  <bookViews>
    <workbookView xWindow="0" yWindow="60" windowWidth="15345" windowHeight="4695" tabRatio="266" firstSheet="6" activeTab="6"/>
  </bookViews>
  <sheets>
    <sheet name="ВСЕ этапы" sheetId="7" state="hidden" r:id="rId1"/>
    <sheet name="Лист1" sheetId="5" state="hidden" r:id="rId2"/>
    <sheet name="Лист2" sheetId="8" state="hidden" r:id="rId3"/>
    <sheet name="1 и 2 этап (2)" sheetId="12" state="hidden" r:id="rId4"/>
    <sheet name="Лист3" sheetId="15" state="hidden" r:id="rId5"/>
    <sheet name="Лист4" sheetId="16" state="hidden" r:id="rId6"/>
    <sheet name="янв-март 2022" sheetId="20" r:id="rId7"/>
    <sheet name="Лист5" sheetId="21" r:id="rId8"/>
  </sheets>
  <definedNames>
    <definedName name="_xlnm._FilterDatabase" localSheetId="3" hidden="1">'1 и 2 этап (2)'!$A$5:$AD$177</definedName>
    <definedName name="_xlnm._FilterDatabase" localSheetId="0" hidden="1">'ВСЕ этапы'!$A$5:$AC$255</definedName>
    <definedName name="_xlnm.Print_Titles" localSheetId="3">'1 и 2 этап (2)'!$3:$5</definedName>
    <definedName name="_xlnm.Print_Titles" localSheetId="0">'ВСЕ этапы'!$3:$5</definedName>
    <definedName name="_xlnm.Print_Area" localSheetId="3">'1 и 2 этап (2)'!$A$1:$AB$182</definedName>
    <definedName name="_xlnm.Print_Area" localSheetId="0">'ВСЕ этапы'!$A$1:$AA$281</definedName>
  </definedNames>
  <calcPr calcId="145621"/>
</workbook>
</file>

<file path=xl/calcChain.xml><?xml version="1.0" encoding="utf-8"?>
<calcChain xmlns="http://schemas.openxmlformats.org/spreadsheetml/2006/main">
  <c r="BG329" i="20" l="1"/>
  <c r="BG328" i="20"/>
  <c r="BV327" i="20"/>
  <c r="BU327" i="20"/>
  <c r="BT327" i="20"/>
  <c r="BS327" i="20"/>
  <c r="BR327" i="20"/>
  <c r="BQ327" i="20"/>
  <c r="BP327" i="20"/>
  <c r="BO327" i="20"/>
  <c r="BN327" i="20"/>
  <c r="BM327" i="20"/>
  <c r="BL327" i="20"/>
  <c r="BK327" i="20"/>
  <c r="BJ327" i="20"/>
  <c r="BI327" i="20"/>
  <c r="BH327" i="20"/>
  <c r="BG327" i="20"/>
  <c r="BE327" i="20"/>
  <c r="BD327" i="20"/>
  <c r="BC327" i="20"/>
  <c r="BB327" i="20"/>
  <c r="BA327" i="20"/>
  <c r="AZ327" i="20"/>
  <c r="AY327" i="20"/>
  <c r="AX327" i="20"/>
  <c r="AM327" i="20"/>
  <c r="AL327" i="20"/>
  <c r="AK327" i="20"/>
  <c r="AJ327" i="20"/>
  <c r="AI327" i="20"/>
  <c r="AH327" i="20"/>
  <c r="AG327" i="20"/>
  <c r="AF327" i="20"/>
  <c r="AE327" i="20"/>
  <c r="AD327" i="20"/>
  <c r="AC327" i="20"/>
  <c r="AB327" i="20"/>
  <c r="AA327" i="20"/>
  <c r="Z327" i="20"/>
  <c r="Y327" i="20"/>
  <c r="X327" i="20"/>
  <c r="W327" i="20"/>
  <c r="V327" i="20"/>
  <c r="U327" i="20"/>
  <c r="T327" i="20"/>
  <c r="S327" i="20"/>
  <c r="R327" i="20"/>
  <c r="Q327" i="20"/>
  <c r="P327" i="20"/>
  <c r="O327" i="20"/>
  <c r="N327" i="20"/>
  <c r="M327" i="20"/>
  <c r="L327" i="20"/>
  <c r="K327" i="20"/>
  <c r="J327" i="20"/>
  <c r="I327" i="20"/>
  <c r="H327" i="20"/>
  <c r="G327" i="20"/>
  <c r="F327" i="20"/>
  <c r="E327" i="20"/>
  <c r="BF325" i="20"/>
  <c r="BE325" i="20"/>
  <c r="AY325" i="20"/>
  <c r="BF324" i="20"/>
  <c r="BE324" i="20"/>
  <c r="AO324" i="20"/>
  <c r="BF323" i="20"/>
  <c r="BE323" i="20"/>
  <c r="BD323" i="20"/>
  <c r="P321" i="20"/>
  <c r="BD320" i="20"/>
  <c r="L320" i="20"/>
  <c r="BF318" i="20"/>
  <c r="BE318" i="20"/>
  <c r="BD318" i="20"/>
  <c r="BF314" i="20"/>
  <c r="BE314" i="20"/>
  <c r="BD314" i="20"/>
  <c r="BF312" i="20"/>
  <c r="BE312" i="20"/>
  <c r="BD312" i="20"/>
  <c r="BF311" i="20"/>
  <c r="BE311" i="20"/>
  <c r="BD311" i="20"/>
  <c r="BU308" i="20"/>
  <c r="BU325" i="20" s="1"/>
  <c r="BT308" i="20"/>
  <c r="BT325" i="20" s="1"/>
  <c r="BS308" i="20"/>
  <c r="BS325" i="20" s="1"/>
  <c r="BR308" i="20"/>
  <c r="BR325" i="20" s="1"/>
  <c r="BQ308" i="20"/>
  <c r="BQ325" i="20" s="1"/>
  <c r="BK308" i="20"/>
  <c r="BK325" i="20" s="1"/>
  <c r="BJ308" i="20"/>
  <c r="BJ325" i="20" s="1"/>
  <c r="BI308" i="20"/>
  <c r="BI325" i="20" s="1"/>
  <c r="BH308" i="20"/>
  <c r="BH325" i="20" s="1"/>
  <c r="BD308" i="20"/>
  <c r="BD325" i="20" s="1"/>
  <c r="BC308" i="20"/>
  <c r="BC325" i="20" s="1"/>
  <c r="BB308" i="20"/>
  <c r="BB325" i="20" s="1"/>
  <c r="BA308" i="20"/>
  <c r="BA325" i="20" s="1"/>
  <c r="AZ308" i="20"/>
  <c r="AZ325" i="20" s="1"/>
  <c r="AY308" i="20"/>
  <c r="AW308" i="20"/>
  <c r="AW325" i="20" s="1"/>
  <c r="AV308" i="20"/>
  <c r="AV325" i="20" s="1"/>
  <c r="AU308" i="20"/>
  <c r="AU325" i="20" s="1"/>
  <c r="AT308" i="20"/>
  <c r="AT325" i="20" s="1"/>
  <c r="AR308" i="20"/>
  <c r="AR325" i="20" s="1"/>
  <c r="AQ308" i="20"/>
  <c r="AQ325" i="20" s="1"/>
  <c r="AP308" i="20"/>
  <c r="AP325" i="20" s="1"/>
  <c r="AO308" i="20"/>
  <c r="AO325" i="20" s="1"/>
  <c r="AN308" i="20"/>
  <c r="AN325" i="20" s="1"/>
  <c r="AM308" i="20"/>
  <c r="AM325" i="20" s="1"/>
  <c r="AL308" i="20"/>
  <c r="AL325" i="20" s="1"/>
  <c r="AK308" i="20"/>
  <c r="AK325" i="20" s="1"/>
  <c r="AJ308" i="20"/>
  <c r="AJ325" i="20" s="1"/>
  <c r="AI308" i="20"/>
  <c r="AI325" i="20" s="1"/>
  <c r="AH308" i="20"/>
  <c r="AH325" i="20" s="1"/>
  <c r="AG308" i="20"/>
  <c r="AG325" i="20" s="1"/>
  <c r="AF308" i="20"/>
  <c r="AF325" i="20" s="1"/>
  <c r="AE308" i="20"/>
  <c r="AE325" i="20" s="1"/>
  <c r="AD308" i="20"/>
  <c r="AD325" i="20" s="1"/>
  <c r="AC308" i="20"/>
  <c r="AC325" i="20" s="1"/>
  <c r="AB308" i="20"/>
  <c r="AB325" i="20" s="1"/>
  <c r="AA308" i="20"/>
  <c r="AA325" i="20" s="1"/>
  <c r="Z308" i="20"/>
  <c r="Z325" i="20" s="1"/>
  <c r="Y308" i="20"/>
  <c r="Y325" i="20" s="1"/>
  <c r="X308" i="20"/>
  <c r="X325" i="20" s="1"/>
  <c r="W308" i="20"/>
  <c r="W325" i="20" s="1"/>
  <c r="V308" i="20"/>
  <c r="V325" i="20" s="1"/>
  <c r="U308" i="20"/>
  <c r="U325" i="20" s="1"/>
  <c r="T308" i="20"/>
  <c r="T325" i="20" s="1"/>
  <c r="S308" i="20"/>
  <c r="S325" i="20" s="1"/>
  <c r="R308" i="20"/>
  <c r="R325" i="20" s="1"/>
  <c r="Q308" i="20"/>
  <c r="Q325" i="20" s="1"/>
  <c r="P308" i="20"/>
  <c r="P325" i="20" s="1"/>
  <c r="O308" i="20"/>
  <c r="O325" i="20" s="1"/>
  <c r="N308" i="20"/>
  <c r="N325" i="20" s="1"/>
  <c r="M308" i="20"/>
  <c r="M325" i="20" s="1"/>
  <c r="L308" i="20"/>
  <c r="L325" i="20" s="1"/>
  <c r="K308" i="20"/>
  <c r="K325" i="20" s="1"/>
  <c r="J308" i="20"/>
  <c r="J325" i="20" s="1"/>
  <c r="I308" i="20"/>
  <c r="I325" i="20" s="1"/>
  <c r="H308" i="20"/>
  <c r="H325" i="20" s="1"/>
  <c r="G308" i="20"/>
  <c r="G325" i="20" s="1"/>
  <c r="F308" i="20"/>
  <c r="F325" i="20" s="1"/>
  <c r="BU307" i="20"/>
  <c r="BU324" i="20" s="1"/>
  <c r="BT307" i="20"/>
  <c r="BT324" i="20" s="1"/>
  <c r="BS307" i="20"/>
  <c r="BS324" i="20" s="1"/>
  <c r="BR307" i="20"/>
  <c r="BR324" i="20" s="1"/>
  <c r="BK307" i="20"/>
  <c r="BK324" i="20" s="1"/>
  <c r="BJ307" i="20"/>
  <c r="BJ324" i="20" s="1"/>
  <c r="BI307" i="20"/>
  <c r="BI324" i="20" s="1"/>
  <c r="BH307" i="20"/>
  <c r="BH324" i="20" s="1"/>
  <c r="BD307" i="20"/>
  <c r="BD324" i="20" s="1"/>
  <c r="BA307" i="20"/>
  <c r="BA324" i="20" s="1"/>
  <c r="AZ307" i="20"/>
  <c r="AZ324" i="20" s="1"/>
  <c r="AY307" i="20"/>
  <c r="AY324" i="20" s="1"/>
  <c r="AW307" i="20"/>
  <c r="AW324" i="20" s="1"/>
  <c r="AV307" i="20"/>
  <c r="AV324" i="20" s="1"/>
  <c r="AU307" i="20"/>
  <c r="AU324" i="20" s="1"/>
  <c r="AT307" i="20"/>
  <c r="AT324" i="20" s="1"/>
  <c r="AS307" i="20"/>
  <c r="AS324" i="20" s="1"/>
  <c r="AR307" i="20"/>
  <c r="AR324" i="20" s="1"/>
  <c r="AQ307" i="20"/>
  <c r="AQ324" i="20" s="1"/>
  <c r="AP307" i="20"/>
  <c r="AP324" i="20" s="1"/>
  <c r="AO307" i="20"/>
  <c r="AN307" i="20"/>
  <c r="AN324" i="20" s="1"/>
  <c r="AH307" i="20"/>
  <c r="AH324" i="20" s="1"/>
  <c r="AG307" i="20"/>
  <c r="AG324" i="20" s="1"/>
  <c r="AF307" i="20"/>
  <c r="AF324" i="20" s="1"/>
  <c r="AE307" i="20"/>
  <c r="AE324" i="20" s="1"/>
  <c r="AC307" i="20"/>
  <c r="AC324" i="20" s="1"/>
  <c r="AB307" i="20"/>
  <c r="AB324" i="20" s="1"/>
  <c r="AA307" i="20"/>
  <c r="AA324" i="20" s="1"/>
  <c r="Z307" i="20"/>
  <c r="Z324" i="20" s="1"/>
  <c r="X307" i="20"/>
  <c r="X324" i="20" s="1"/>
  <c r="W307" i="20"/>
  <c r="W324" i="20" s="1"/>
  <c r="V307" i="20"/>
  <c r="V324" i="20" s="1"/>
  <c r="U307" i="20"/>
  <c r="U324" i="20" s="1"/>
  <c r="S307" i="20"/>
  <c r="S324" i="20" s="1"/>
  <c r="R307" i="20"/>
  <c r="R324" i="20" s="1"/>
  <c r="Q307" i="20"/>
  <c r="Q324" i="20" s="1"/>
  <c r="P307" i="20"/>
  <c r="P324" i="20" s="1"/>
  <c r="N307" i="20"/>
  <c r="N324" i="20" s="1"/>
  <c r="M307" i="20"/>
  <c r="M324" i="20" s="1"/>
  <c r="L307" i="20"/>
  <c r="L324" i="20" s="1"/>
  <c r="K307" i="20"/>
  <c r="K324" i="20" s="1"/>
  <c r="AW306" i="20"/>
  <c r="AW323" i="20" s="1"/>
  <c r="AV306" i="20"/>
  <c r="AV323" i="20" s="1"/>
  <c r="AU306" i="20"/>
  <c r="AU323" i="20" s="1"/>
  <c r="AT306" i="20"/>
  <c r="AT323" i="20" s="1"/>
  <c r="AS306" i="20"/>
  <c r="AS323" i="20" s="1"/>
  <c r="AR306" i="20"/>
  <c r="AR323" i="20" s="1"/>
  <c r="AQ306" i="20"/>
  <c r="AQ323" i="20" s="1"/>
  <c r="AP306" i="20"/>
  <c r="AP323" i="20" s="1"/>
  <c r="AO306" i="20"/>
  <c r="AO323" i="20" s="1"/>
  <c r="AN306" i="20"/>
  <c r="AN323" i="20" s="1"/>
  <c r="Z306" i="20"/>
  <c r="Z323" i="20" s="1"/>
  <c r="BA305" i="20"/>
  <c r="BA322" i="20" s="1"/>
  <c r="AW305" i="20"/>
  <c r="AW322" i="20" s="1"/>
  <c r="AV305" i="20"/>
  <c r="AV322" i="20" s="1"/>
  <c r="AU305" i="20"/>
  <c r="AU322" i="20" s="1"/>
  <c r="AT305" i="20"/>
  <c r="AT322" i="20" s="1"/>
  <c r="AS305" i="20"/>
  <c r="AS322" i="20" s="1"/>
  <c r="AR305" i="20"/>
  <c r="AR322" i="20" s="1"/>
  <c r="AQ305" i="20"/>
  <c r="AQ322" i="20" s="1"/>
  <c r="AP305" i="20"/>
  <c r="AP322" i="20" s="1"/>
  <c r="AO305" i="20"/>
  <c r="AO322" i="20" s="1"/>
  <c r="AN305" i="20"/>
  <c r="AN322" i="20" s="1"/>
  <c r="AD305" i="20"/>
  <c r="AD322" i="20" s="1"/>
  <c r="N305" i="20"/>
  <c r="N322" i="20" s="1"/>
  <c r="AW304" i="20"/>
  <c r="AV304" i="20"/>
  <c r="AU304" i="20"/>
  <c r="AT304" i="20"/>
  <c r="AS304" i="20"/>
  <c r="AR304" i="20"/>
  <c r="AQ304" i="20"/>
  <c r="AP304" i="20"/>
  <c r="AO304" i="20"/>
  <c r="AN304" i="20"/>
  <c r="BQ303" i="20"/>
  <c r="BV303" i="20" s="1"/>
  <c r="BV308" i="20" s="1"/>
  <c r="BV325" i="20" s="1"/>
  <c r="BP303" i="20"/>
  <c r="BP308" i="20" s="1"/>
  <c r="BP325" i="20" s="1"/>
  <c r="BO303" i="20"/>
  <c r="BO308" i="20" s="1"/>
  <c r="BO325" i="20" s="1"/>
  <c r="BN303" i="20"/>
  <c r="BN308" i="20" s="1"/>
  <c r="BN325" i="20" s="1"/>
  <c r="BM303" i="20"/>
  <c r="BM308" i="20" s="1"/>
  <c r="BM325" i="20" s="1"/>
  <c r="BL303" i="20"/>
  <c r="BL308" i="20" s="1"/>
  <c r="BL325" i="20" s="1"/>
  <c r="BG303" i="20"/>
  <c r="BG308" i="20" s="1"/>
  <c r="BG325" i="20" s="1"/>
  <c r="AX303" i="20"/>
  <c r="AX308" i="20" s="1"/>
  <c r="AX325" i="20" s="1"/>
  <c r="AS303" i="20"/>
  <c r="AS308" i="20" s="1"/>
  <c r="AS325" i="20" s="1"/>
  <c r="E303" i="20"/>
  <c r="E308" i="20" s="1"/>
  <c r="E325" i="20" s="1"/>
  <c r="BQ302" i="20"/>
  <c r="BQ307" i="20" s="1"/>
  <c r="BQ324" i="20" s="1"/>
  <c r="BG302" i="20"/>
  <c r="BG307" i="20" s="1"/>
  <c r="BG324" i="20" s="1"/>
  <c r="BB302" i="20"/>
  <c r="BB307" i="20" s="1"/>
  <c r="BB324" i="20" s="1"/>
  <c r="AM302" i="20"/>
  <c r="AL302" i="20"/>
  <c r="AK302" i="20"/>
  <c r="AK307" i="20" s="1"/>
  <c r="AK324" i="20" s="1"/>
  <c r="AJ302" i="20"/>
  <c r="AJ307" i="20" s="1"/>
  <c r="AJ324" i="20" s="1"/>
  <c r="AI302" i="20"/>
  <c r="AI307" i="20" s="1"/>
  <c r="AI324" i="20" s="1"/>
  <c r="AD302" i="20"/>
  <c r="AD307" i="20" s="1"/>
  <c r="AD324" i="20" s="1"/>
  <c r="Y302" i="20"/>
  <c r="Y307" i="20" s="1"/>
  <c r="Y324" i="20" s="1"/>
  <c r="T302" i="20"/>
  <c r="T307" i="20" s="1"/>
  <c r="T324" i="20" s="1"/>
  <c r="O302" i="20"/>
  <c r="O307" i="20" s="1"/>
  <c r="O324" i="20" s="1"/>
  <c r="J302" i="20"/>
  <c r="J307" i="20" s="1"/>
  <c r="J324" i="20" s="1"/>
  <c r="G302" i="20"/>
  <c r="F302" i="20"/>
  <c r="BQ301" i="20"/>
  <c r="BP301" i="20"/>
  <c r="BG301" i="20"/>
  <c r="AX301" i="20"/>
  <c r="AI301" i="20"/>
  <c r="AD301" i="20"/>
  <c r="Y301" i="20"/>
  <c r="T301" i="20"/>
  <c r="O301" i="20"/>
  <c r="J301" i="20"/>
  <c r="H301" i="20"/>
  <c r="G301" i="20"/>
  <c r="BN301" i="20" s="1"/>
  <c r="F301" i="20"/>
  <c r="BQ300" i="20"/>
  <c r="BP300" i="20"/>
  <c r="BP299" i="20" s="1"/>
  <c r="BP305" i="20" s="1"/>
  <c r="BP322" i="20" s="1"/>
  <c r="BO300" i="20"/>
  <c r="BN300" i="20"/>
  <c r="BN299" i="20" s="1"/>
  <c r="BN305" i="20" s="1"/>
  <c r="BN322" i="20" s="1"/>
  <c r="BM300" i="20"/>
  <c r="BG300" i="20"/>
  <c r="BG299" i="20" s="1"/>
  <c r="BG305" i="20" s="1"/>
  <c r="AX300" i="20"/>
  <c r="AI300" i="20"/>
  <c r="AI299" i="20" s="1"/>
  <c r="AI305" i="20" s="1"/>
  <c r="AI322" i="20" s="1"/>
  <c r="AD300" i="20"/>
  <c r="Y300" i="20"/>
  <c r="Y299" i="20" s="1"/>
  <c r="Y305" i="20" s="1"/>
  <c r="Y322" i="20" s="1"/>
  <c r="T300" i="20"/>
  <c r="O300" i="20"/>
  <c r="O299" i="20" s="1"/>
  <c r="O305" i="20" s="1"/>
  <c r="O322" i="20" s="1"/>
  <c r="J300" i="20"/>
  <c r="E300" i="20"/>
  <c r="BU299" i="20"/>
  <c r="BU305" i="20" s="1"/>
  <c r="BU322" i="20" s="1"/>
  <c r="BT299" i="20"/>
  <c r="BT305" i="20" s="1"/>
  <c r="BT322" i="20" s="1"/>
  <c r="BS299" i="20"/>
  <c r="BS305" i="20" s="1"/>
  <c r="BS322" i="20" s="1"/>
  <c r="BR299" i="20"/>
  <c r="BK299" i="20"/>
  <c r="BK305" i="20" s="1"/>
  <c r="BK322" i="20" s="1"/>
  <c r="BJ299" i="20"/>
  <c r="BI299" i="20"/>
  <c r="BI305" i="20" s="1"/>
  <c r="BI322" i="20" s="1"/>
  <c r="BH299" i="20"/>
  <c r="BH305" i="20" s="1"/>
  <c r="BH322" i="20" s="1"/>
  <c r="BF299" i="20"/>
  <c r="BF305" i="20" s="1"/>
  <c r="BF322" i="20" s="1"/>
  <c r="BE299" i="20"/>
  <c r="BD299" i="20"/>
  <c r="BD305" i="20" s="1"/>
  <c r="BD322" i="20" s="1"/>
  <c r="BB299" i="20"/>
  <c r="BB305" i="20" s="1"/>
  <c r="BB322" i="20" s="1"/>
  <c r="BA299" i="20"/>
  <c r="AZ299" i="20"/>
  <c r="AZ305" i="20" s="1"/>
  <c r="AZ322" i="20" s="1"/>
  <c r="AY299" i="20"/>
  <c r="AY305" i="20" s="1"/>
  <c r="AY322" i="20" s="1"/>
  <c r="AX299" i="20"/>
  <c r="AX305" i="20" s="1"/>
  <c r="AX322" i="20" s="1"/>
  <c r="AM299" i="20"/>
  <c r="AM305" i="20" s="1"/>
  <c r="AM322" i="20" s="1"/>
  <c r="AL299" i="20"/>
  <c r="AL305" i="20" s="1"/>
  <c r="AL322" i="20" s="1"/>
  <c r="AK299" i="20"/>
  <c r="AK305" i="20" s="1"/>
  <c r="AK322" i="20" s="1"/>
  <c r="AJ299" i="20"/>
  <c r="AJ305" i="20" s="1"/>
  <c r="AJ322" i="20" s="1"/>
  <c r="AH299" i="20"/>
  <c r="AH305" i="20" s="1"/>
  <c r="AH322" i="20" s="1"/>
  <c r="AG299" i="20"/>
  <c r="AG305" i="20" s="1"/>
  <c r="AG322" i="20" s="1"/>
  <c r="AF299" i="20"/>
  <c r="AF305" i="20" s="1"/>
  <c r="AF322" i="20" s="1"/>
  <c r="AE299" i="20"/>
  <c r="AE305" i="20" s="1"/>
  <c r="AE322" i="20" s="1"/>
  <c r="AD299" i="20"/>
  <c r="AC299" i="20"/>
  <c r="AC305" i="20" s="1"/>
  <c r="AC322" i="20" s="1"/>
  <c r="AB299" i="20"/>
  <c r="AB305" i="20" s="1"/>
  <c r="AB322" i="20" s="1"/>
  <c r="AA299" i="20"/>
  <c r="AA305" i="20" s="1"/>
  <c r="AA322" i="20" s="1"/>
  <c r="Z299" i="20"/>
  <c r="Z305" i="20" s="1"/>
  <c r="Z322" i="20" s="1"/>
  <c r="X299" i="20"/>
  <c r="X305" i="20" s="1"/>
  <c r="X322" i="20" s="1"/>
  <c r="W299" i="20"/>
  <c r="W305" i="20" s="1"/>
  <c r="W322" i="20" s="1"/>
  <c r="V299" i="20"/>
  <c r="V305" i="20" s="1"/>
  <c r="V322" i="20" s="1"/>
  <c r="U299" i="20"/>
  <c r="U305" i="20" s="1"/>
  <c r="U322" i="20" s="1"/>
  <c r="T299" i="20"/>
  <c r="T305" i="20" s="1"/>
  <c r="T322" i="20" s="1"/>
  <c r="S299" i="20"/>
  <c r="S305" i="20" s="1"/>
  <c r="S322" i="20" s="1"/>
  <c r="R299" i="20"/>
  <c r="R305" i="20" s="1"/>
  <c r="R322" i="20" s="1"/>
  <c r="Q299" i="20"/>
  <c r="Q305" i="20" s="1"/>
  <c r="Q322" i="20" s="1"/>
  <c r="P299" i="20"/>
  <c r="P305" i="20" s="1"/>
  <c r="P322" i="20" s="1"/>
  <c r="N299" i="20"/>
  <c r="M299" i="20"/>
  <c r="M305" i="20" s="1"/>
  <c r="M322" i="20" s="1"/>
  <c r="L299" i="20"/>
  <c r="L305" i="20" s="1"/>
  <c r="L322" i="20" s="1"/>
  <c r="K299" i="20"/>
  <c r="K305" i="20" s="1"/>
  <c r="K322" i="20" s="1"/>
  <c r="J299" i="20"/>
  <c r="J305" i="20" s="1"/>
  <c r="J322" i="20" s="1"/>
  <c r="I299" i="20"/>
  <c r="I305" i="20" s="1"/>
  <c r="I322" i="20" s="1"/>
  <c r="G299" i="20"/>
  <c r="G305" i="20" s="1"/>
  <c r="G322" i="20" s="1"/>
  <c r="BQ298" i="20"/>
  <c r="BL298" i="20"/>
  <c r="BG298" i="20"/>
  <c r="AX298" i="20"/>
  <c r="AI298" i="20"/>
  <c r="AD298" i="20"/>
  <c r="Y298" i="20"/>
  <c r="T298" i="20"/>
  <c r="O298" i="20"/>
  <c r="J298" i="20"/>
  <c r="E298" i="20"/>
  <c r="BQ297" i="20"/>
  <c r="BL297" i="20"/>
  <c r="BG297" i="20"/>
  <c r="AX297" i="20"/>
  <c r="AI297" i="20"/>
  <c r="AD297" i="20"/>
  <c r="Y297" i="20"/>
  <c r="T297" i="20"/>
  <c r="O297" i="20"/>
  <c r="J297" i="20"/>
  <c r="E297" i="20"/>
  <c r="BC297" i="20" s="1"/>
  <c r="BV297" i="20" s="1"/>
  <c r="BQ296" i="20"/>
  <c r="BL296" i="20"/>
  <c r="BL295" i="20" s="1"/>
  <c r="BG296" i="20"/>
  <c r="AX296" i="20"/>
  <c r="AX295" i="20" s="1"/>
  <c r="AI296" i="20"/>
  <c r="AD296" i="20"/>
  <c r="AD295" i="20" s="1"/>
  <c r="Y296" i="20"/>
  <c r="T296" i="20"/>
  <c r="T295" i="20" s="1"/>
  <c r="O296" i="20"/>
  <c r="J296" i="20"/>
  <c r="J295" i="20" s="1"/>
  <c r="E296" i="20"/>
  <c r="BU295" i="20"/>
  <c r="BT295" i="20"/>
  <c r="BS295" i="20"/>
  <c r="BR295" i="20"/>
  <c r="BQ295" i="20"/>
  <c r="BP295" i="20"/>
  <c r="BO295" i="20"/>
  <c r="BN295" i="20"/>
  <c r="BM295" i="20"/>
  <c r="BK295" i="20"/>
  <c r="BJ295" i="20"/>
  <c r="BI295" i="20"/>
  <c r="BH295" i="20"/>
  <c r="BD295" i="20"/>
  <c r="BB295" i="20"/>
  <c r="BA295" i="20"/>
  <c r="AZ295" i="20"/>
  <c r="AY295" i="20"/>
  <c r="AM295" i="20"/>
  <c r="AL295" i="20"/>
  <c r="AK295" i="20"/>
  <c r="AJ295" i="20"/>
  <c r="AH295" i="20"/>
  <c r="AG295" i="20"/>
  <c r="AF295" i="20"/>
  <c r="AE295" i="20"/>
  <c r="AC295" i="20"/>
  <c r="AB295" i="20"/>
  <c r="AA295" i="20"/>
  <c r="Z295" i="20"/>
  <c r="Y295" i="20"/>
  <c r="X295" i="20"/>
  <c r="W295" i="20"/>
  <c r="V295" i="20"/>
  <c r="U295" i="20"/>
  <c r="S295" i="20"/>
  <c r="R295" i="20"/>
  <c r="Q295" i="20"/>
  <c r="P295" i="20"/>
  <c r="N295" i="20"/>
  <c r="N304" i="20" s="1"/>
  <c r="M295" i="20"/>
  <c r="L295" i="20"/>
  <c r="K295" i="20"/>
  <c r="I295" i="20"/>
  <c r="H295" i="20"/>
  <c r="G295" i="20"/>
  <c r="F295" i="20"/>
  <c r="BQ294" i="20"/>
  <c r="BL294" i="20"/>
  <c r="BG294" i="20"/>
  <c r="AX294" i="20"/>
  <c r="AI294" i="20"/>
  <c r="AD294" i="20"/>
  <c r="Y294" i="20"/>
  <c r="T294" i="20"/>
  <c r="O294" i="20"/>
  <c r="J294" i="20"/>
  <c r="E294" i="20"/>
  <c r="BQ293" i="20"/>
  <c r="BL293" i="20"/>
  <c r="BG293" i="20"/>
  <c r="AX293" i="20"/>
  <c r="AI293" i="20"/>
  <c r="AD293" i="20"/>
  <c r="Y293" i="20"/>
  <c r="T293" i="20"/>
  <c r="O293" i="20"/>
  <c r="J293" i="20"/>
  <c r="E293" i="20"/>
  <c r="BQ292" i="20"/>
  <c r="BL292" i="20"/>
  <c r="BG292" i="20"/>
  <c r="AX292" i="20"/>
  <c r="AI292" i="20"/>
  <c r="AD292" i="20"/>
  <c r="Y292" i="20"/>
  <c r="T292" i="20"/>
  <c r="O292" i="20"/>
  <c r="J292" i="20"/>
  <c r="E292" i="20"/>
  <c r="BQ291" i="20"/>
  <c r="BQ289" i="20" s="1"/>
  <c r="BL291" i="20"/>
  <c r="BG291" i="20"/>
  <c r="BG289" i="20" s="1"/>
  <c r="AX291" i="20"/>
  <c r="AI291" i="20"/>
  <c r="AI289" i="20" s="1"/>
  <c r="AD291" i="20"/>
  <c r="Y291" i="20"/>
  <c r="T291" i="20"/>
  <c r="O291" i="20"/>
  <c r="J291" i="20"/>
  <c r="E291" i="20"/>
  <c r="BC291" i="20" s="1"/>
  <c r="BV291" i="20" s="1"/>
  <c r="BQ290" i="20"/>
  <c r="BL290" i="20"/>
  <c r="BG290" i="20"/>
  <c r="AX290" i="20"/>
  <c r="AI290" i="20"/>
  <c r="AD290" i="20"/>
  <c r="Y290" i="20"/>
  <c r="T290" i="20"/>
  <c r="O290" i="20"/>
  <c r="J290" i="20"/>
  <c r="E290" i="20"/>
  <c r="BU289" i="20"/>
  <c r="BT289" i="20"/>
  <c r="BS289" i="20"/>
  <c r="BR289" i="20"/>
  <c r="BP289" i="20"/>
  <c r="BO289" i="20"/>
  <c r="BN289" i="20"/>
  <c r="BM289" i="20"/>
  <c r="BL289" i="20"/>
  <c r="BK289" i="20"/>
  <c r="BJ289" i="20"/>
  <c r="BI289" i="20"/>
  <c r="BH289" i="20"/>
  <c r="BD289" i="20"/>
  <c r="BB289" i="20"/>
  <c r="BA289" i="20"/>
  <c r="AZ289" i="20"/>
  <c r="AY289" i="20"/>
  <c r="AM289" i="20"/>
  <c r="AL289" i="20"/>
  <c r="AL306" i="20" s="1"/>
  <c r="AL323" i="20" s="1"/>
  <c r="AK289" i="20"/>
  <c r="AJ289" i="20"/>
  <c r="AH289" i="20"/>
  <c r="AG289" i="20"/>
  <c r="AF289" i="20"/>
  <c r="AE289" i="20"/>
  <c r="AC289" i="20"/>
  <c r="AB289" i="20"/>
  <c r="AA289" i="20"/>
  <c r="Z289" i="20"/>
  <c r="X289" i="20"/>
  <c r="W289" i="20"/>
  <c r="V289" i="20"/>
  <c r="V304" i="20" s="1"/>
  <c r="U289" i="20"/>
  <c r="T289" i="20"/>
  <c r="S289" i="20"/>
  <c r="R289" i="20"/>
  <c r="Q289" i="20"/>
  <c r="P289" i="20"/>
  <c r="N289" i="20"/>
  <c r="M289" i="20"/>
  <c r="L289" i="20"/>
  <c r="K289" i="20"/>
  <c r="I289" i="20"/>
  <c r="H289" i="20"/>
  <c r="G289" i="20"/>
  <c r="F289" i="20"/>
  <c r="BQ288" i="20"/>
  <c r="BL288" i="20"/>
  <c r="BG288" i="20"/>
  <c r="AX288" i="20"/>
  <c r="AI288" i="20"/>
  <c r="AD288" i="20"/>
  <c r="Y288" i="20"/>
  <c r="T288" i="20"/>
  <c r="O288" i="20"/>
  <c r="J288" i="20"/>
  <c r="E288" i="20"/>
  <c r="BQ287" i="20"/>
  <c r="BL287" i="20"/>
  <c r="BG287" i="20"/>
  <c r="AX287" i="20"/>
  <c r="AI287" i="20"/>
  <c r="AD287" i="20"/>
  <c r="Y287" i="20"/>
  <c r="T287" i="20"/>
  <c r="O287" i="20"/>
  <c r="J287" i="20"/>
  <c r="E287" i="20"/>
  <c r="E285" i="20" s="1"/>
  <c r="BQ286" i="20"/>
  <c r="BL286" i="20"/>
  <c r="BL285" i="20" s="1"/>
  <c r="BG286" i="20"/>
  <c r="AX286" i="20"/>
  <c r="AX285" i="20" s="1"/>
  <c r="AI286" i="20"/>
  <c r="AD286" i="20"/>
  <c r="AD285" i="20" s="1"/>
  <c r="Y286" i="20"/>
  <c r="T286" i="20"/>
  <c r="O286" i="20"/>
  <c r="J286" i="20"/>
  <c r="J285" i="20" s="1"/>
  <c r="E286" i="20"/>
  <c r="BU285" i="20"/>
  <c r="BU306" i="20" s="1"/>
  <c r="BU323" i="20" s="1"/>
  <c r="BT285" i="20"/>
  <c r="BS285" i="20"/>
  <c r="BS306" i="20" s="1"/>
  <c r="BS323" i="20" s="1"/>
  <c r="BR285" i="20"/>
  <c r="BR306" i="20" s="1"/>
  <c r="BR323" i="20" s="1"/>
  <c r="BQ285" i="20"/>
  <c r="BP285" i="20"/>
  <c r="BO285" i="20"/>
  <c r="BO306" i="20" s="1"/>
  <c r="BO323" i="20" s="1"/>
  <c r="BN285" i="20"/>
  <c r="BM285" i="20"/>
  <c r="BM306" i="20" s="1"/>
  <c r="BM323" i="20" s="1"/>
  <c r="BK285" i="20"/>
  <c r="BJ285" i="20"/>
  <c r="BJ306" i="20" s="1"/>
  <c r="BJ323" i="20" s="1"/>
  <c r="BI285" i="20"/>
  <c r="BH285" i="20"/>
  <c r="BD285" i="20"/>
  <c r="BD304" i="20" s="1"/>
  <c r="BB285" i="20"/>
  <c r="BA285" i="20"/>
  <c r="AZ285" i="20"/>
  <c r="AZ306" i="20" s="1"/>
  <c r="AZ323" i="20" s="1"/>
  <c r="AY285" i="20"/>
  <c r="AM285" i="20"/>
  <c r="AL285" i="20"/>
  <c r="AK285" i="20"/>
  <c r="AK304" i="20" s="1"/>
  <c r="AJ285" i="20"/>
  <c r="AH285" i="20"/>
  <c r="AG285" i="20"/>
  <c r="AF285" i="20"/>
  <c r="AE285" i="20"/>
  <c r="AC285" i="20"/>
  <c r="AC304" i="20" s="1"/>
  <c r="AB285" i="20"/>
  <c r="AA285" i="20"/>
  <c r="AA306" i="20" s="1"/>
  <c r="AA323" i="20" s="1"/>
  <c r="Z285" i="20"/>
  <c r="Z304" i="20" s="1"/>
  <c r="Y285" i="20"/>
  <c r="X285" i="20"/>
  <c r="W285" i="20"/>
  <c r="V285" i="20"/>
  <c r="U285" i="20"/>
  <c r="S285" i="20"/>
  <c r="R285" i="20"/>
  <c r="Q285" i="20"/>
  <c r="P285" i="20"/>
  <c r="N285" i="20"/>
  <c r="M285" i="20"/>
  <c r="M306" i="20" s="1"/>
  <c r="M323" i="20" s="1"/>
  <c r="L285" i="20"/>
  <c r="K285" i="20"/>
  <c r="I285" i="20"/>
  <c r="H285" i="20"/>
  <c r="G285" i="20"/>
  <c r="F285" i="20"/>
  <c r="F306" i="20" s="1"/>
  <c r="F323" i="20" s="1"/>
  <c r="BU283" i="20"/>
  <c r="BU321" i="20" s="1"/>
  <c r="BT283" i="20"/>
  <c r="BT321" i="20" s="1"/>
  <c r="BS283" i="20"/>
  <c r="BS321" i="20" s="1"/>
  <c r="BR283" i="20"/>
  <c r="BR321" i="20" s="1"/>
  <c r="BN283" i="20"/>
  <c r="BN321" i="20" s="1"/>
  <c r="BK283" i="20"/>
  <c r="BK321" i="20" s="1"/>
  <c r="BJ283" i="20"/>
  <c r="BJ321" i="20" s="1"/>
  <c r="BI283" i="20"/>
  <c r="BI321" i="20" s="1"/>
  <c r="BH283" i="20"/>
  <c r="BH321" i="20" s="1"/>
  <c r="BF283" i="20"/>
  <c r="BE283" i="20"/>
  <c r="BD283" i="20"/>
  <c r="BD321" i="20" s="1"/>
  <c r="BB283" i="20"/>
  <c r="BB321" i="20" s="1"/>
  <c r="BA283" i="20"/>
  <c r="BA321" i="20" s="1"/>
  <c r="AZ283" i="20"/>
  <c r="AZ321" i="20" s="1"/>
  <c r="AY283" i="20"/>
  <c r="AY321" i="20" s="1"/>
  <c r="AX283" i="20"/>
  <c r="AX321" i="20" s="1"/>
  <c r="AW283" i="20"/>
  <c r="AW321" i="20" s="1"/>
  <c r="AV283" i="20"/>
  <c r="AV321" i="20" s="1"/>
  <c r="AU283" i="20"/>
  <c r="AU321" i="20" s="1"/>
  <c r="AT283" i="20"/>
  <c r="AT321" i="20" s="1"/>
  <c r="AS283" i="20"/>
  <c r="AS321" i="20" s="1"/>
  <c r="AR283" i="20"/>
  <c r="AR321" i="20" s="1"/>
  <c r="AQ283" i="20"/>
  <c r="AQ321" i="20" s="1"/>
  <c r="AP283" i="20"/>
  <c r="AP321" i="20" s="1"/>
  <c r="AO283" i="20"/>
  <c r="AO321" i="20" s="1"/>
  <c r="AN283" i="20"/>
  <c r="AN321" i="20" s="1"/>
  <c r="AM283" i="20"/>
  <c r="AM321" i="20" s="1"/>
  <c r="AL283" i="20"/>
  <c r="AL321" i="20" s="1"/>
  <c r="AK283" i="20"/>
  <c r="AK321" i="20" s="1"/>
  <c r="AJ283" i="20"/>
  <c r="AJ321" i="20" s="1"/>
  <c r="AH283" i="20"/>
  <c r="AH321" i="20" s="1"/>
  <c r="AG283" i="20"/>
  <c r="AG321" i="20" s="1"/>
  <c r="AF283" i="20"/>
  <c r="AF321" i="20" s="1"/>
  <c r="AE283" i="20"/>
  <c r="AE321" i="20" s="1"/>
  <c r="AC283" i="20"/>
  <c r="AC321" i="20" s="1"/>
  <c r="AB283" i="20"/>
  <c r="AB321" i="20" s="1"/>
  <c r="AA283" i="20"/>
  <c r="AA321" i="20" s="1"/>
  <c r="Z283" i="20"/>
  <c r="Z321" i="20" s="1"/>
  <c r="X283" i="20"/>
  <c r="X321" i="20" s="1"/>
  <c r="W283" i="20"/>
  <c r="W321" i="20" s="1"/>
  <c r="V283" i="20"/>
  <c r="V321" i="20" s="1"/>
  <c r="U283" i="20"/>
  <c r="U321" i="20" s="1"/>
  <c r="S283" i="20"/>
  <c r="S321" i="20" s="1"/>
  <c r="R283" i="20"/>
  <c r="R321" i="20" s="1"/>
  <c r="Q283" i="20"/>
  <c r="Q321" i="20" s="1"/>
  <c r="P283" i="20"/>
  <c r="N283" i="20"/>
  <c r="N321" i="20" s="1"/>
  <c r="M283" i="20"/>
  <c r="M321" i="20" s="1"/>
  <c r="L283" i="20"/>
  <c r="L321" i="20" s="1"/>
  <c r="K283" i="20"/>
  <c r="K321" i="20" s="1"/>
  <c r="I283" i="20"/>
  <c r="I321" i="20" s="1"/>
  <c r="H283" i="20"/>
  <c r="H321" i="20" s="1"/>
  <c r="G283" i="20"/>
  <c r="G321" i="20" s="1"/>
  <c r="F283" i="20"/>
  <c r="F321" i="20" s="1"/>
  <c r="BU282" i="20"/>
  <c r="BU320" i="20" s="1"/>
  <c r="BT282" i="20"/>
  <c r="BT320" i="20" s="1"/>
  <c r="BS282" i="20"/>
  <c r="BS320" i="20" s="1"/>
  <c r="BR282" i="20"/>
  <c r="BR320" i="20" s="1"/>
  <c r="BP282" i="20"/>
  <c r="BP320" i="20" s="1"/>
  <c r="BO282" i="20"/>
  <c r="BO320" i="20" s="1"/>
  <c r="BN282" i="20"/>
  <c r="BN320" i="20" s="1"/>
  <c r="BM282" i="20"/>
  <c r="BM320" i="20" s="1"/>
  <c r="BK282" i="20"/>
  <c r="BK320" i="20" s="1"/>
  <c r="BJ282" i="20"/>
  <c r="BJ320" i="20" s="1"/>
  <c r="BI282" i="20"/>
  <c r="BI320" i="20" s="1"/>
  <c r="BH282" i="20"/>
  <c r="BH320" i="20" s="1"/>
  <c r="BG320" i="20" s="1"/>
  <c r="BB282" i="20"/>
  <c r="BB320" i="20" s="1"/>
  <c r="BA282" i="20"/>
  <c r="BA320" i="20" s="1"/>
  <c r="AZ282" i="20"/>
  <c r="AZ320" i="20" s="1"/>
  <c r="AY282" i="20"/>
  <c r="AY320" i="20" s="1"/>
  <c r="AW282" i="20"/>
  <c r="AW320" i="20" s="1"/>
  <c r="AV282" i="20"/>
  <c r="AV320" i="20" s="1"/>
  <c r="AU282" i="20"/>
  <c r="AU320" i="20" s="1"/>
  <c r="AT282" i="20"/>
  <c r="AT320" i="20" s="1"/>
  <c r="AS282" i="20"/>
  <c r="AS320" i="20" s="1"/>
  <c r="AR282" i="20"/>
  <c r="AR320" i="20" s="1"/>
  <c r="AQ282" i="20"/>
  <c r="AQ320" i="20" s="1"/>
  <c r="AP282" i="20"/>
  <c r="AP320" i="20" s="1"/>
  <c r="AO282" i="20"/>
  <c r="AO320" i="20" s="1"/>
  <c r="AN282" i="20"/>
  <c r="AN320" i="20" s="1"/>
  <c r="AM282" i="20"/>
  <c r="AM320" i="20" s="1"/>
  <c r="AL282" i="20"/>
  <c r="AL320" i="20" s="1"/>
  <c r="AK282" i="20"/>
  <c r="AK320" i="20" s="1"/>
  <c r="AJ282" i="20"/>
  <c r="AJ320" i="20" s="1"/>
  <c r="AH282" i="20"/>
  <c r="AH320" i="20" s="1"/>
  <c r="AG282" i="20"/>
  <c r="AG320" i="20" s="1"/>
  <c r="AF282" i="20"/>
  <c r="AF320" i="20" s="1"/>
  <c r="AE282" i="20"/>
  <c r="AE320" i="20" s="1"/>
  <c r="AC282" i="20"/>
  <c r="AC320" i="20" s="1"/>
  <c r="AB282" i="20"/>
  <c r="AB320" i="20" s="1"/>
  <c r="AA282" i="20"/>
  <c r="AA320" i="20" s="1"/>
  <c r="Z282" i="20"/>
  <c r="Z320" i="20" s="1"/>
  <c r="X282" i="20"/>
  <c r="X320" i="20" s="1"/>
  <c r="W282" i="20"/>
  <c r="W320" i="20" s="1"/>
  <c r="V282" i="20"/>
  <c r="V320" i="20" s="1"/>
  <c r="U282" i="20"/>
  <c r="U320" i="20" s="1"/>
  <c r="S282" i="20"/>
  <c r="S320" i="20" s="1"/>
  <c r="R282" i="20"/>
  <c r="R320" i="20" s="1"/>
  <c r="Q282" i="20"/>
  <c r="Q320" i="20" s="1"/>
  <c r="P282" i="20"/>
  <c r="P320" i="20" s="1"/>
  <c r="N282" i="20"/>
  <c r="N320" i="20" s="1"/>
  <c r="M282" i="20"/>
  <c r="M320" i="20" s="1"/>
  <c r="L282" i="20"/>
  <c r="K282" i="20"/>
  <c r="K320" i="20" s="1"/>
  <c r="I282" i="20"/>
  <c r="I320" i="20" s="1"/>
  <c r="H282" i="20"/>
  <c r="H320" i="20" s="1"/>
  <c r="G282" i="20"/>
  <c r="G320" i="20" s="1"/>
  <c r="F282" i="20"/>
  <c r="F320" i="20" s="1"/>
  <c r="AW281" i="20"/>
  <c r="AV281" i="20"/>
  <c r="AU281" i="20"/>
  <c r="AT281" i="20"/>
  <c r="AS281" i="20"/>
  <c r="AR281" i="20"/>
  <c r="AQ281" i="20"/>
  <c r="AP281" i="20"/>
  <c r="AO281" i="20"/>
  <c r="AN281" i="20"/>
  <c r="AW280" i="20"/>
  <c r="AV280" i="20"/>
  <c r="AU280" i="20"/>
  <c r="AT280" i="20"/>
  <c r="AS280" i="20"/>
  <c r="AR280" i="20"/>
  <c r="AQ280" i="20"/>
  <c r="AP280" i="20"/>
  <c r="AO280" i="20"/>
  <c r="AN280" i="20"/>
  <c r="BQ279" i="20"/>
  <c r="BQ283" i="20" s="1"/>
  <c r="BQ321" i="20" s="1"/>
  <c r="BP279" i="20"/>
  <c r="BP283" i="20" s="1"/>
  <c r="BP321" i="20" s="1"/>
  <c r="BO279" i="20"/>
  <c r="BO283" i="20" s="1"/>
  <c r="BO321" i="20" s="1"/>
  <c r="BN279" i="20"/>
  <c r="BM279" i="20"/>
  <c r="BG279" i="20"/>
  <c r="BG283" i="20" s="1"/>
  <c r="AX279" i="20"/>
  <c r="AI279" i="20"/>
  <c r="AI283" i="20" s="1"/>
  <c r="AI321" i="20" s="1"/>
  <c r="AD279" i="20"/>
  <c r="AD283" i="20" s="1"/>
  <c r="AD321" i="20" s="1"/>
  <c r="Y279" i="20"/>
  <c r="Y283" i="20" s="1"/>
  <c r="Y321" i="20" s="1"/>
  <c r="T279" i="20"/>
  <c r="T283" i="20" s="1"/>
  <c r="T321" i="20" s="1"/>
  <c r="O279" i="20"/>
  <c r="O283" i="20" s="1"/>
  <c r="O321" i="20" s="1"/>
  <c r="J279" i="20"/>
  <c r="J283" i="20" s="1"/>
  <c r="J321" i="20" s="1"/>
  <c r="E279" i="20"/>
  <c r="E283" i="20" s="1"/>
  <c r="E321" i="20" s="1"/>
  <c r="BQ278" i="20"/>
  <c r="BQ277" i="20" s="1"/>
  <c r="BL278" i="20"/>
  <c r="BL277" i="20" s="1"/>
  <c r="BG278" i="20"/>
  <c r="AX278" i="20"/>
  <c r="AX277" i="20" s="1"/>
  <c r="AI278" i="20"/>
  <c r="AD278" i="20"/>
  <c r="Y278" i="20"/>
  <c r="T278" i="20"/>
  <c r="T277" i="20" s="1"/>
  <c r="O278" i="20"/>
  <c r="J278" i="20"/>
  <c r="J277" i="20" s="1"/>
  <c r="E278" i="20"/>
  <c r="BU277" i="20"/>
  <c r="BT277" i="20"/>
  <c r="BS277" i="20"/>
  <c r="BS281" i="20" s="1"/>
  <c r="BR277" i="20"/>
  <c r="BP277" i="20"/>
  <c r="BO277" i="20"/>
  <c r="BN277" i="20"/>
  <c r="BM277" i="20"/>
  <c r="BK277" i="20"/>
  <c r="BJ277" i="20"/>
  <c r="BI277" i="20"/>
  <c r="BH277" i="20"/>
  <c r="BG277" i="20"/>
  <c r="BF277" i="20"/>
  <c r="BE277" i="20"/>
  <c r="BD277" i="20"/>
  <c r="BB277" i="20"/>
  <c r="BA277" i="20"/>
  <c r="AZ277" i="20"/>
  <c r="AY277" i="20"/>
  <c r="AM277" i="20"/>
  <c r="AL277" i="20"/>
  <c r="AK277" i="20"/>
  <c r="AJ277" i="20"/>
  <c r="AI277" i="20"/>
  <c r="AH277" i="20"/>
  <c r="AG277" i="20"/>
  <c r="AF277" i="20"/>
  <c r="AE277" i="20"/>
  <c r="AD277" i="20"/>
  <c r="AC277" i="20"/>
  <c r="AB277" i="20"/>
  <c r="AA277" i="20"/>
  <c r="Z277" i="20"/>
  <c r="Y277" i="20"/>
  <c r="X277" i="20"/>
  <c r="W277" i="20"/>
  <c r="V277" i="20"/>
  <c r="U277" i="20"/>
  <c r="S277" i="20"/>
  <c r="R277" i="20"/>
  <c r="Q277" i="20"/>
  <c r="P277" i="20"/>
  <c r="O277" i="20"/>
  <c r="N277" i="20"/>
  <c r="M277" i="20"/>
  <c r="L277" i="20"/>
  <c r="K277" i="20"/>
  <c r="I277" i="20"/>
  <c r="H277" i="20"/>
  <c r="G277" i="20"/>
  <c r="F277" i="20"/>
  <c r="E277" i="20"/>
  <c r="C277" i="20"/>
  <c r="BQ276" i="20"/>
  <c r="BQ275" i="20" s="1"/>
  <c r="BL276" i="20"/>
  <c r="BL275" i="20" s="1"/>
  <c r="BG276" i="20"/>
  <c r="BG275" i="20" s="1"/>
  <c r="AX276" i="20"/>
  <c r="AI276" i="20"/>
  <c r="AH276" i="20"/>
  <c r="Y276" i="20"/>
  <c r="T276" i="20"/>
  <c r="O276" i="20"/>
  <c r="J276" i="20"/>
  <c r="E276" i="20"/>
  <c r="BU275" i="20"/>
  <c r="BT275" i="20"/>
  <c r="BT281" i="20" s="1"/>
  <c r="BS275" i="20"/>
  <c r="BR275" i="20"/>
  <c r="BP275" i="20"/>
  <c r="BP281" i="20" s="1"/>
  <c r="BO275" i="20"/>
  <c r="BO281" i="20" s="1"/>
  <c r="BN275" i="20"/>
  <c r="BN281" i="20" s="1"/>
  <c r="BM275" i="20"/>
  <c r="BM281" i="20" s="1"/>
  <c r="BK275" i="20"/>
  <c r="BJ275" i="20"/>
  <c r="BJ281" i="20" s="1"/>
  <c r="BI275" i="20"/>
  <c r="BI281" i="20" s="1"/>
  <c r="BH275" i="20"/>
  <c r="BH281" i="20" s="1"/>
  <c r="BF275" i="20"/>
  <c r="BF281" i="20" s="1"/>
  <c r="BF280" i="20" s="1"/>
  <c r="BE275" i="20"/>
  <c r="BD275" i="20"/>
  <c r="BD281" i="20" s="1"/>
  <c r="BB275" i="20"/>
  <c r="BA275" i="20"/>
  <c r="BA281" i="20" s="1"/>
  <c r="AZ275" i="20"/>
  <c r="AZ281" i="20" s="1"/>
  <c r="AY275" i="20"/>
  <c r="AX275" i="20"/>
  <c r="AM275" i="20"/>
  <c r="AM281" i="20" s="1"/>
  <c r="AL275" i="20"/>
  <c r="AK275" i="20"/>
  <c r="AJ275" i="20"/>
  <c r="AI275" i="20"/>
  <c r="AI281" i="20" s="1"/>
  <c r="AG275" i="20"/>
  <c r="AF275" i="20"/>
  <c r="AF281" i="20" s="1"/>
  <c r="AE275" i="20"/>
  <c r="AE281" i="20" s="1"/>
  <c r="AC275" i="20"/>
  <c r="AB275" i="20"/>
  <c r="AA275" i="20"/>
  <c r="AA281" i="20" s="1"/>
  <c r="Z275" i="20"/>
  <c r="Y275" i="20"/>
  <c r="X275" i="20"/>
  <c r="W275" i="20"/>
  <c r="W281" i="20" s="1"/>
  <c r="V275" i="20"/>
  <c r="U275" i="20"/>
  <c r="T275" i="20"/>
  <c r="S275" i="20"/>
  <c r="S281" i="20" s="1"/>
  <c r="R275" i="20"/>
  <c r="R281" i="20" s="1"/>
  <c r="Q275" i="20"/>
  <c r="P275" i="20"/>
  <c r="P281" i="20" s="1"/>
  <c r="O275" i="20"/>
  <c r="O281" i="20" s="1"/>
  <c r="N275" i="20"/>
  <c r="N281" i="20" s="1"/>
  <c r="M275" i="20"/>
  <c r="L275" i="20"/>
  <c r="L281" i="20" s="1"/>
  <c r="K275" i="20"/>
  <c r="K281" i="20" s="1"/>
  <c r="J275" i="20"/>
  <c r="I275" i="20"/>
  <c r="H275" i="20"/>
  <c r="H281" i="20" s="1"/>
  <c r="G275" i="20"/>
  <c r="G281" i="20" s="1"/>
  <c r="F275" i="20"/>
  <c r="F281" i="20" s="1"/>
  <c r="E275" i="20"/>
  <c r="BQ274" i="20"/>
  <c r="BL274" i="20"/>
  <c r="BG274" i="20"/>
  <c r="AX274" i="20"/>
  <c r="AI274" i="20"/>
  <c r="AD274" i="20"/>
  <c r="Y274" i="20"/>
  <c r="T274" i="20"/>
  <c r="O274" i="20"/>
  <c r="J274" i="20"/>
  <c r="E274" i="20"/>
  <c r="BQ273" i="20"/>
  <c r="BL273" i="20"/>
  <c r="BG273" i="20"/>
  <c r="AX273" i="20"/>
  <c r="AI273" i="20"/>
  <c r="AD273" i="20"/>
  <c r="Y273" i="20"/>
  <c r="T273" i="20"/>
  <c r="O273" i="20"/>
  <c r="J273" i="20"/>
  <c r="E273" i="20"/>
  <c r="BC273" i="20" s="1"/>
  <c r="BV273" i="20" s="1"/>
  <c r="BQ272" i="20"/>
  <c r="BL272" i="20"/>
  <c r="BG272" i="20"/>
  <c r="AX272" i="20"/>
  <c r="AI272" i="20"/>
  <c r="AD272" i="20"/>
  <c r="AD270" i="20" s="1"/>
  <c r="Y272" i="20"/>
  <c r="T272" i="20"/>
  <c r="O272" i="20"/>
  <c r="J272" i="20"/>
  <c r="J270" i="20" s="1"/>
  <c r="E272" i="20"/>
  <c r="BQ271" i="20"/>
  <c r="BQ270" i="20" s="1"/>
  <c r="BL271" i="20"/>
  <c r="BG271" i="20"/>
  <c r="AX271" i="20"/>
  <c r="AI271" i="20"/>
  <c r="AI270" i="20" s="1"/>
  <c r="AD271" i="20"/>
  <c r="Y271" i="20"/>
  <c r="T271" i="20"/>
  <c r="O271" i="20"/>
  <c r="O270" i="20" s="1"/>
  <c r="J271" i="20"/>
  <c r="E271" i="20"/>
  <c r="BU270" i="20"/>
  <c r="BT270" i="20"/>
  <c r="BS270" i="20"/>
  <c r="BR270" i="20"/>
  <c r="BP270" i="20"/>
  <c r="BO270" i="20"/>
  <c r="BN270" i="20"/>
  <c r="BM270" i="20"/>
  <c r="BK270" i="20"/>
  <c r="BJ270" i="20"/>
  <c r="BI270" i="20"/>
  <c r="BH270" i="20"/>
  <c r="BD270" i="20"/>
  <c r="BB270" i="20"/>
  <c r="BA270" i="20"/>
  <c r="AZ270" i="20"/>
  <c r="AY270" i="20"/>
  <c r="AM270" i="20"/>
  <c r="AL270" i="20"/>
  <c r="AK270" i="20"/>
  <c r="AJ270" i="20"/>
  <c r="AH270" i="20"/>
  <c r="AG270" i="20"/>
  <c r="AF270" i="20"/>
  <c r="AE270" i="20"/>
  <c r="AC270" i="20"/>
  <c r="AB270" i="20"/>
  <c r="AA270" i="20"/>
  <c r="Z270" i="20"/>
  <c r="X270" i="20"/>
  <c r="W270" i="20"/>
  <c r="V270" i="20"/>
  <c r="U270" i="20"/>
  <c r="S270" i="20"/>
  <c r="R270" i="20"/>
  <c r="Q270" i="20"/>
  <c r="P270" i="20"/>
  <c r="N270" i="20"/>
  <c r="M270" i="20"/>
  <c r="L270" i="20"/>
  <c r="K270" i="20"/>
  <c r="I270" i="20"/>
  <c r="H270" i="20"/>
  <c r="G270" i="20"/>
  <c r="F270" i="20"/>
  <c r="BQ269" i="20"/>
  <c r="BL269" i="20"/>
  <c r="BG269" i="20"/>
  <c r="AX269" i="20"/>
  <c r="AI269" i="20"/>
  <c r="AD269" i="20"/>
  <c r="Y269" i="20"/>
  <c r="T269" i="20"/>
  <c r="O269" i="20"/>
  <c r="J269" i="20"/>
  <c r="E269" i="20"/>
  <c r="BQ268" i="20"/>
  <c r="BL268" i="20"/>
  <c r="BG268" i="20"/>
  <c r="AX268" i="20"/>
  <c r="AI268" i="20"/>
  <c r="AD268" i="20"/>
  <c r="Y268" i="20"/>
  <c r="T268" i="20"/>
  <c r="O268" i="20"/>
  <c r="J268" i="20"/>
  <c r="E268" i="20"/>
  <c r="BQ267" i="20"/>
  <c r="BL267" i="20"/>
  <c r="BG267" i="20"/>
  <c r="AX267" i="20"/>
  <c r="AI267" i="20"/>
  <c r="AD267" i="20"/>
  <c r="Y267" i="20"/>
  <c r="T267" i="20"/>
  <c r="O267" i="20"/>
  <c r="J267" i="20"/>
  <c r="E267" i="20"/>
  <c r="BC267" i="20" s="1"/>
  <c r="BV267" i="20" s="1"/>
  <c r="BQ266" i="20"/>
  <c r="BL266" i="20"/>
  <c r="BG266" i="20"/>
  <c r="AX266" i="20"/>
  <c r="AI266" i="20"/>
  <c r="AD266" i="20"/>
  <c r="Y266" i="20"/>
  <c r="T266" i="20"/>
  <c r="O266" i="20"/>
  <c r="J266" i="20"/>
  <c r="E266" i="20"/>
  <c r="BQ265" i="20"/>
  <c r="BQ282" i="20" s="1"/>
  <c r="BQ320" i="20" s="1"/>
  <c r="BL265" i="20"/>
  <c r="BG265" i="20"/>
  <c r="AX265" i="20"/>
  <c r="AI265" i="20"/>
  <c r="AD265" i="20"/>
  <c r="Y265" i="20"/>
  <c r="Y264" i="20" s="1"/>
  <c r="T265" i="20"/>
  <c r="O265" i="20"/>
  <c r="J265" i="20"/>
  <c r="E265" i="20"/>
  <c r="BU264" i="20"/>
  <c r="BU280" i="20" s="1"/>
  <c r="BT264" i="20"/>
  <c r="BT280" i="20" s="1"/>
  <c r="BS264" i="20"/>
  <c r="BR264" i="20"/>
  <c r="BR280" i="20" s="1"/>
  <c r="BP264" i="20"/>
  <c r="BP280" i="20" s="1"/>
  <c r="BO264" i="20"/>
  <c r="BN264" i="20"/>
  <c r="BM264" i="20"/>
  <c r="BM280" i="20" s="1"/>
  <c r="BL264" i="20"/>
  <c r="BK264" i="20"/>
  <c r="BJ264" i="20"/>
  <c r="BI264" i="20"/>
  <c r="BH264" i="20"/>
  <c r="BH280" i="20" s="1"/>
  <c r="BD264" i="20"/>
  <c r="BB264" i="20"/>
  <c r="BB280" i="20" s="1"/>
  <c r="BA264" i="20"/>
  <c r="AZ264" i="20"/>
  <c r="AZ280" i="20" s="1"/>
  <c r="AY264" i="20"/>
  <c r="AX264" i="20"/>
  <c r="AM264" i="20"/>
  <c r="AL264" i="20"/>
  <c r="AK264" i="20"/>
  <c r="AJ264" i="20"/>
  <c r="AJ280" i="20" s="1"/>
  <c r="AH264" i="20"/>
  <c r="AG264" i="20"/>
  <c r="AF264" i="20"/>
  <c r="AE264" i="20"/>
  <c r="AE280" i="20" s="1"/>
  <c r="AC264" i="20"/>
  <c r="AB264" i="20"/>
  <c r="AA264" i="20"/>
  <c r="Z264" i="20"/>
  <c r="Z280" i="20" s="1"/>
  <c r="X264" i="20"/>
  <c r="W264" i="20"/>
  <c r="V264" i="20"/>
  <c r="U264" i="20"/>
  <c r="U280" i="20" s="1"/>
  <c r="S264" i="20"/>
  <c r="S280" i="20" s="1"/>
  <c r="R264" i="20"/>
  <c r="R280" i="20" s="1"/>
  <c r="Q264" i="20"/>
  <c r="Q280" i="20" s="1"/>
  <c r="P264" i="20"/>
  <c r="N264" i="20"/>
  <c r="M264" i="20"/>
  <c r="L264" i="20"/>
  <c r="L280" i="20" s="1"/>
  <c r="K264" i="20"/>
  <c r="K280" i="20" s="1"/>
  <c r="I264" i="20"/>
  <c r="H264" i="20"/>
  <c r="G264" i="20"/>
  <c r="F264" i="20"/>
  <c r="BU261" i="20"/>
  <c r="BT261" i="20"/>
  <c r="BS261" i="20"/>
  <c r="BR261" i="20"/>
  <c r="BP261" i="20"/>
  <c r="BO261" i="20"/>
  <c r="BN261" i="20"/>
  <c r="BM261" i="20"/>
  <c r="BK261" i="20"/>
  <c r="BJ261" i="20"/>
  <c r="BI261" i="20"/>
  <c r="BH261" i="20"/>
  <c r="BF261" i="20"/>
  <c r="BE261" i="20"/>
  <c r="BD261" i="20"/>
  <c r="BB261" i="20"/>
  <c r="BA261" i="20"/>
  <c r="AZ261" i="20"/>
  <c r="AY261" i="20"/>
  <c r="AW261" i="20"/>
  <c r="AV261" i="20"/>
  <c r="AU261" i="20"/>
  <c r="AT261" i="20"/>
  <c r="AR261" i="20"/>
  <c r="AQ261" i="20"/>
  <c r="AP261" i="20"/>
  <c r="AO261" i="20"/>
  <c r="AN261" i="20"/>
  <c r="AM261" i="20"/>
  <c r="AL261" i="20"/>
  <c r="AK261" i="20"/>
  <c r="AJ261" i="20"/>
  <c r="AH261" i="20"/>
  <c r="AG261" i="20"/>
  <c r="AF261" i="20"/>
  <c r="AE261" i="20"/>
  <c r="AC261" i="20"/>
  <c r="AB261" i="20"/>
  <c r="AA261" i="20"/>
  <c r="Z261" i="20"/>
  <c r="X261" i="20"/>
  <c r="W261" i="20"/>
  <c r="V261" i="20"/>
  <c r="U261" i="20"/>
  <c r="S261" i="20"/>
  <c r="R261" i="20"/>
  <c r="Q261" i="20"/>
  <c r="P261" i="20"/>
  <c r="N261" i="20"/>
  <c r="M261" i="20"/>
  <c r="L261" i="20"/>
  <c r="K261" i="20"/>
  <c r="I261" i="20"/>
  <c r="H261" i="20"/>
  <c r="G261" i="20"/>
  <c r="F261" i="20"/>
  <c r="BU260" i="20"/>
  <c r="BU318" i="20" s="1"/>
  <c r="BT260" i="20"/>
  <c r="BT318" i="20" s="1"/>
  <c r="BS260" i="20"/>
  <c r="BS318" i="20" s="1"/>
  <c r="BR260" i="20"/>
  <c r="BR318" i="20" s="1"/>
  <c r="BP260" i="20"/>
  <c r="BP318" i="20" s="1"/>
  <c r="BO260" i="20"/>
  <c r="BO318" i="20" s="1"/>
  <c r="BN260" i="20"/>
  <c r="BN318" i="20" s="1"/>
  <c r="BM260" i="20"/>
  <c r="BM318" i="20" s="1"/>
  <c r="BK260" i="20"/>
  <c r="BK318" i="20" s="1"/>
  <c r="BJ260" i="20"/>
  <c r="BJ318" i="20" s="1"/>
  <c r="BI260" i="20"/>
  <c r="BI318" i="20" s="1"/>
  <c r="BH260" i="20"/>
  <c r="BH318" i="20" s="1"/>
  <c r="BB260" i="20"/>
  <c r="BB318" i="20" s="1"/>
  <c r="BA260" i="20"/>
  <c r="BA318" i="20" s="1"/>
  <c r="AZ260" i="20"/>
  <c r="AZ318" i="20" s="1"/>
  <c r="AY260" i="20"/>
  <c r="AY318" i="20" s="1"/>
  <c r="AW260" i="20"/>
  <c r="AW318" i="20" s="1"/>
  <c r="AV260" i="20"/>
  <c r="AV318" i="20" s="1"/>
  <c r="AU260" i="20"/>
  <c r="AU318" i="20" s="1"/>
  <c r="AT260" i="20"/>
  <c r="AT318" i="20" s="1"/>
  <c r="AR260" i="20"/>
  <c r="AR318" i="20" s="1"/>
  <c r="AQ260" i="20"/>
  <c r="AQ318" i="20" s="1"/>
  <c r="AP260" i="20"/>
  <c r="AP318" i="20" s="1"/>
  <c r="AO260" i="20"/>
  <c r="AO318" i="20" s="1"/>
  <c r="AN260" i="20"/>
  <c r="AN318" i="20" s="1"/>
  <c r="AM260" i="20"/>
  <c r="AM318" i="20" s="1"/>
  <c r="AL260" i="20"/>
  <c r="AL318" i="20" s="1"/>
  <c r="AK260" i="20"/>
  <c r="AK318" i="20" s="1"/>
  <c r="AJ260" i="20"/>
  <c r="AJ318" i="20" s="1"/>
  <c r="AH260" i="20"/>
  <c r="AH318" i="20" s="1"/>
  <c r="AG260" i="20"/>
  <c r="AG318" i="20" s="1"/>
  <c r="AF260" i="20"/>
  <c r="AF318" i="20" s="1"/>
  <c r="AE260" i="20"/>
  <c r="AE318" i="20" s="1"/>
  <c r="AC260" i="20"/>
  <c r="AC318" i="20" s="1"/>
  <c r="AB260" i="20"/>
  <c r="AB318" i="20" s="1"/>
  <c r="AA260" i="20"/>
  <c r="AA318" i="20" s="1"/>
  <c r="Z260" i="20"/>
  <c r="Z318" i="20" s="1"/>
  <c r="X260" i="20"/>
  <c r="X318" i="20" s="1"/>
  <c r="W260" i="20"/>
  <c r="W318" i="20" s="1"/>
  <c r="V260" i="20"/>
  <c r="V318" i="20" s="1"/>
  <c r="U260" i="20"/>
  <c r="U318" i="20" s="1"/>
  <c r="S260" i="20"/>
  <c r="S318" i="20" s="1"/>
  <c r="R260" i="20"/>
  <c r="R318" i="20" s="1"/>
  <c r="Q260" i="20"/>
  <c r="Q318" i="20" s="1"/>
  <c r="P260" i="20"/>
  <c r="P318" i="20" s="1"/>
  <c r="N260" i="20"/>
  <c r="N318" i="20" s="1"/>
  <c r="M260" i="20"/>
  <c r="M318" i="20" s="1"/>
  <c r="L260" i="20"/>
  <c r="L318" i="20" s="1"/>
  <c r="K260" i="20"/>
  <c r="K318" i="20" s="1"/>
  <c r="I260" i="20"/>
  <c r="I318" i="20" s="1"/>
  <c r="H260" i="20"/>
  <c r="H318" i="20" s="1"/>
  <c r="G260" i="20"/>
  <c r="G318" i="20" s="1"/>
  <c r="F260" i="20"/>
  <c r="F318" i="20" s="1"/>
  <c r="BU259" i="20"/>
  <c r="BT259" i="20"/>
  <c r="BT257" i="20" s="1"/>
  <c r="BT317" i="20" s="1"/>
  <c r="BS259" i="20"/>
  <c r="BR259" i="20"/>
  <c r="BP259" i="20"/>
  <c r="BO259" i="20"/>
  <c r="BN259" i="20"/>
  <c r="BM259" i="20"/>
  <c r="BK259" i="20"/>
  <c r="BJ259" i="20"/>
  <c r="BI259" i="20"/>
  <c r="BH259" i="20"/>
  <c r="BB259" i="20"/>
  <c r="BA259" i="20"/>
  <c r="AZ259" i="20"/>
  <c r="AY259" i="20"/>
  <c r="AW259" i="20"/>
  <c r="AV259" i="20"/>
  <c r="AU259" i="20"/>
  <c r="AT259" i="20"/>
  <c r="AR259" i="20"/>
  <c r="AQ259" i="20"/>
  <c r="AP259" i="20"/>
  <c r="AO259" i="20"/>
  <c r="AN259" i="20"/>
  <c r="AM259" i="20"/>
  <c r="AL259" i="20"/>
  <c r="AK259" i="20"/>
  <c r="AJ259" i="20"/>
  <c r="AH259" i="20"/>
  <c r="AG259" i="20"/>
  <c r="AF259" i="20"/>
  <c r="AE259" i="20"/>
  <c r="AC259" i="20"/>
  <c r="AB259" i="20"/>
  <c r="AA259" i="20"/>
  <c r="Z259" i="20"/>
  <c r="X259" i="20"/>
  <c r="W259" i="20"/>
  <c r="V259" i="20"/>
  <c r="U259" i="20"/>
  <c r="U257" i="20" s="1"/>
  <c r="U317" i="20" s="1"/>
  <c r="S259" i="20"/>
  <c r="R259" i="20"/>
  <c r="Q259" i="20"/>
  <c r="P259" i="20"/>
  <c r="N259" i="20"/>
  <c r="M259" i="20"/>
  <c r="L259" i="20"/>
  <c r="K259" i="20"/>
  <c r="I259" i="20"/>
  <c r="H259" i="20"/>
  <c r="G259" i="20"/>
  <c r="F259" i="20"/>
  <c r="BU258" i="20"/>
  <c r="BT258" i="20"/>
  <c r="BS258" i="20"/>
  <c r="BR258" i="20"/>
  <c r="BP258" i="20"/>
  <c r="BO258" i="20"/>
  <c r="BN258" i="20"/>
  <c r="BM258" i="20"/>
  <c r="BK258" i="20"/>
  <c r="BK257" i="20" s="1"/>
  <c r="BK317" i="20" s="1"/>
  <c r="BJ258" i="20"/>
  <c r="BI258" i="20"/>
  <c r="BH258" i="20"/>
  <c r="BB258" i="20"/>
  <c r="BA258" i="20"/>
  <c r="AZ258" i="20"/>
  <c r="AY258" i="20"/>
  <c r="AW258" i="20"/>
  <c r="AV258" i="20"/>
  <c r="AV257" i="20" s="1"/>
  <c r="AV317" i="20" s="1"/>
  <c r="AU258" i="20"/>
  <c r="AT258" i="20"/>
  <c r="AR258" i="20"/>
  <c r="AQ258" i="20"/>
  <c r="AQ257" i="20" s="1"/>
  <c r="AQ317" i="20" s="1"/>
  <c r="AP258" i="20"/>
  <c r="AO258" i="20"/>
  <c r="AN258" i="20"/>
  <c r="AM258" i="20"/>
  <c r="AM257" i="20" s="1"/>
  <c r="AM317" i="20" s="1"/>
  <c r="AL258" i="20"/>
  <c r="AK258" i="20"/>
  <c r="AJ258" i="20"/>
  <c r="AH258" i="20"/>
  <c r="AH257" i="20" s="1"/>
  <c r="AH317" i="20" s="1"/>
  <c r="AG258" i="20"/>
  <c r="AF258" i="20"/>
  <c r="AE258" i="20"/>
  <c r="AC258" i="20"/>
  <c r="AB258" i="20"/>
  <c r="AA258" i="20"/>
  <c r="Z258" i="20"/>
  <c r="X258" i="20"/>
  <c r="X257" i="20" s="1"/>
  <c r="X317" i="20" s="1"/>
  <c r="W258" i="20"/>
  <c r="V258" i="20"/>
  <c r="U258" i="20"/>
  <c r="S258" i="20"/>
  <c r="R258" i="20"/>
  <c r="Q258" i="20"/>
  <c r="P258" i="20"/>
  <c r="P257" i="20" s="1"/>
  <c r="P317" i="20" s="1"/>
  <c r="N258" i="20"/>
  <c r="M258" i="20"/>
  <c r="L258" i="20"/>
  <c r="L257" i="20" s="1"/>
  <c r="L317" i="20" s="1"/>
  <c r="K258" i="20"/>
  <c r="I258" i="20"/>
  <c r="H258" i="20"/>
  <c r="H257" i="20" s="1"/>
  <c r="H317" i="20" s="1"/>
  <c r="G258" i="20"/>
  <c r="G257" i="20" s="1"/>
  <c r="G317" i="20" s="1"/>
  <c r="F258" i="20"/>
  <c r="CU257" i="20"/>
  <c r="CT257" i="20"/>
  <c r="CS257" i="20"/>
  <c r="CR257" i="20"/>
  <c r="CQ257" i="20"/>
  <c r="CP257" i="20"/>
  <c r="CO257" i="20"/>
  <c r="CN257" i="20"/>
  <c r="CM257" i="20"/>
  <c r="CL257" i="20"/>
  <c r="CK257" i="20"/>
  <c r="CJ257" i="20"/>
  <c r="CI257" i="20"/>
  <c r="CH257" i="20"/>
  <c r="CG257" i="20"/>
  <c r="CF257" i="20"/>
  <c r="CE257" i="20"/>
  <c r="CD257" i="20"/>
  <c r="CC257" i="20"/>
  <c r="CB257" i="20"/>
  <c r="CA257" i="20"/>
  <c r="BZ257" i="20"/>
  <c r="BY257" i="20"/>
  <c r="BX257" i="20"/>
  <c r="BW257" i="20"/>
  <c r="BU257" i="20"/>
  <c r="BU317" i="20" s="1"/>
  <c r="BS257" i="20"/>
  <c r="BS317" i="20" s="1"/>
  <c r="BO257" i="20"/>
  <c r="BO317" i="20" s="1"/>
  <c r="BN257" i="20"/>
  <c r="BN317" i="20" s="1"/>
  <c r="BM257" i="20"/>
  <c r="BM317" i="20" s="1"/>
  <c r="BJ257" i="20"/>
  <c r="BJ317" i="20" s="1"/>
  <c r="BI257" i="20"/>
  <c r="BI317" i="20" s="1"/>
  <c r="BB257" i="20"/>
  <c r="BB317" i="20" s="1"/>
  <c r="AY257" i="20"/>
  <c r="AY317" i="20" s="1"/>
  <c r="AT257" i="20"/>
  <c r="AT317" i="20" s="1"/>
  <c r="AP257" i="20"/>
  <c r="AP317" i="20" s="1"/>
  <c r="AN257" i="20"/>
  <c r="AN317" i="20" s="1"/>
  <c r="AL257" i="20"/>
  <c r="AL317" i="20" s="1"/>
  <c r="AJ257" i="20"/>
  <c r="AJ317" i="20" s="1"/>
  <c r="AF257" i="20"/>
  <c r="AF317" i="20" s="1"/>
  <c r="AE257" i="20"/>
  <c r="AE317" i="20" s="1"/>
  <c r="AB257" i="20"/>
  <c r="AB317" i="20" s="1"/>
  <c r="AA257" i="20"/>
  <c r="AA317" i="20" s="1"/>
  <c r="Z257" i="20"/>
  <c r="Z317" i="20" s="1"/>
  <c r="W257" i="20"/>
  <c r="W317" i="20" s="1"/>
  <c r="V257" i="20"/>
  <c r="V317" i="20" s="1"/>
  <c r="S257" i="20"/>
  <c r="S317" i="20" s="1"/>
  <c r="R257" i="20"/>
  <c r="R317" i="20" s="1"/>
  <c r="N257" i="20"/>
  <c r="N317" i="20" s="1"/>
  <c r="K257" i="20"/>
  <c r="K317" i="20" s="1"/>
  <c r="F257" i="20"/>
  <c r="F317" i="20" s="1"/>
  <c r="BU256" i="20"/>
  <c r="BU316" i="20" s="1"/>
  <c r="BT256" i="20"/>
  <c r="BT316" i="20" s="1"/>
  <c r="BS256" i="20"/>
  <c r="BS316" i="20" s="1"/>
  <c r="BR256" i="20"/>
  <c r="BR316" i="20" s="1"/>
  <c r="BP256" i="20"/>
  <c r="BP316" i="20" s="1"/>
  <c r="BO256" i="20"/>
  <c r="BO316" i="20" s="1"/>
  <c r="BN256" i="20"/>
  <c r="BN316" i="20" s="1"/>
  <c r="BM256" i="20"/>
  <c r="BM316" i="20" s="1"/>
  <c r="BK256" i="20"/>
  <c r="BK316" i="20" s="1"/>
  <c r="BJ256" i="20"/>
  <c r="BJ316" i="20" s="1"/>
  <c r="BI256" i="20"/>
  <c r="BI316" i="20" s="1"/>
  <c r="BH256" i="20"/>
  <c r="BH316" i="20" s="1"/>
  <c r="BF256" i="20"/>
  <c r="BF316" i="20" s="1"/>
  <c r="BE256" i="20"/>
  <c r="BE316" i="20" s="1"/>
  <c r="BD256" i="20"/>
  <c r="BD316" i="20" s="1"/>
  <c r="BB256" i="20"/>
  <c r="BB316" i="20" s="1"/>
  <c r="BA256" i="20"/>
  <c r="BA316" i="20" s="1"/>
  <c r="AZ256" i="20"/>
  <c r="AZ316" i="20" s="1"/>
  <c r="AY256" i="20"/>
  <c r="AY316" i="20" s="1"/>
  <c r="AW256" i="20"/>
  <c r="AW316" i="20" s="1"/>
  <c r="AV256" i="20"/>
  <c r="AV316" i="20" s="1"/>
  <c r="AU256" i="20"/>
  <c r="AU316" i="20" s="1"/>
  <c r="AT256" i="20"/>
  <c r="AT316" i="20" s="1"/>
  <c r="AR256" i="20"/>
  <c r="AR316" i="20" s="1"/>
  <c r="AQ256" i="20"/>
  <c r="AQ316" i="20" s="1"/>
  <c r="AP256" i="20"/>
  <c r="AP316" i="20" s="1"/>
  <c r="AO256" i="20"/>
  <c r="AO316" i="20" s="1"/>
  <c r="AN256" i="20"/>
  <c r="AN316" i="20" s="1"/>
  <c r="AM256" i="20"/>
  <c r="AM316" i="20" s="1"/>
  <c r="AL256" i="20"/>
  <c r="AL316" i="20" s="1"/>
  <c r="AK256" i="20"/>
  <c r="AK316" i="20" s="1"/>
  <c r="AJ256" i="20"/>
  <c r="AJ316" i="20" s="1"/>
  <c r="AH256" i="20"/>
  <c r="AH316" i="20" s="1"/>
  <c r="AG256" i="20"/>
  <c r="AG316" i="20" s="1"/>
  <c r="AF256" i="20"/>
  <c r="AF316" i="20" s="1"/>
  <c r="AE256" i="20"/>
  <c r="AE316" i="20" s="1"/>
  <c r="AC256" i="20"/>
  <c r="AC316" i="20" s="1"/>
  <c r="AB256" i="20"/>
  <c r="AB316" i="20" s="1"/>
  <c r="AA256" i="20"/>
  <c r="AA316" i="20" s="1"/>
  <c r="Z256" i="20"/>
  <c r="Z316" i="20" s="1"/>
  <c r="X256" i="20"/>
  <c r="X316" i="20" s="1"/>
  <c r="W256" i="20"/>
  <c r="W316" i="20" s="1"/>
  <c r="V256" i="20"/>
  <c r="V316" i="20" s="1"/>
  <c r="U256" i="20"/>
  <c r="U316" i="20" s="1"/>
  <c r="S256" i="20"/>
  <c r="S316" i="20" s="1"/>
  <c r="R256" i="20"/>
  <c r="R316" i="20" s="1"/>
  <c r="Q256" i="20"/>
  <c r="Q316" i="20" s="1"/>
  <c r="P256" i="20"/>
  <c r="P316" i="20" s="1"/>
  <c r="N256" i="20"/>
  <c r="N316" i="20" s="1"/>
  <c r="M256" i="20"/>
  <c r="M316" i="20" s="1"/>
  <c r="L256" i="20"/>
  <c r="L316" i="20" s="1"/>
  <c r="K256" i="20"/>
  <c r="K316" i="20" s="1"/>
  <c r="I256" i="20"/>
  <c r="I316" i="20" s="1"/>
  <c r="H256" i="20"/>
  <c r="H316" i="20" s="1"/>
  <c r="G256" i="20"/>
  <c r="G316" i="20" s="1"/>
  <c r="F256" i="20"/>
  <c r="F316" i="20" s="1"/>
  <c r="BQ254" i="20"/>
  <c r="BL254" i="20"/>
  <c r="BG254" i="20"/>
  <c r="AX254" i="20"/>
  <c r="AS254" i="20"/>
  <c r="E254" i="20"/>
  <c r="BQ253" i="20"/>
  <c r="BL253" i="20"/>
  <c r="BG253" i="20"/>
  <c r="AX253" i="20"/>
  <c r="AS253" i="20"/>
  <c r="E253" i="20"/>
  <c r="BQ252" i="20"/>
  <c r="BL252" i="20"/>
  <c r="BG252" i="20"/>
  <c r="AX252" i="20"/>
  <c r="AS252" i="20"/>
  <c r="E252" i="20"/>
  <c r="BQ251" i="20"/>
  <c r="BL251" i="20"/>
  <c r="BG251" i="20"/>
  <c r="AX251" i="20"/>
  <c r="AS251" i="20"/>
  <c r="AI251" i="20"/>
  <c r="AD251" i="20"/>
  <c r="Y251" i="20"/>
  <c r="T251" i="20"/>
  <c r="O251" i="20"/>
  <c r="J251" i="20"/>
  <c r="E251" i="20"/>
  <c r="BC251" i="20" s="1"/>
  <c r="BQ250" i="20"/>
  <c r="BL250" i="20"/>
  <c r="BG250" i="20"/>
  <c r="AX250" i="20"/>
  <c r="AS250" i="20"/>
  <c r="AI250" i="20"/>
  <c r="AD250" i="20"/>
  <c r="Y250" i="20"/>
  <c r="T250" i="20"/>
  <c r="O250" i="20"/>
  <c r="J250" i="20"/>
  <c r="E250" i="20"/>
  <c r="BQ249" i="20"/>
  <c r="BQ260" i="20" s="1"/>
  <c r="BQ318" i="20" s="1"/>
  <c r="BL249" i="20"/>
  <c r="BL260" i="20" s="1"/>
  <c r="BL318" i="20" s="1"/>
  <c r="BG249" i="20"/>
  <c r="BG260" i="20" s="1"/>
  <c r="BG318" i="20" s="1"/>
  <c r="AX249" i="20"/>
  <c r="AX260" i="20" s="1"/>
  <c r="AX318" i="20" s="1"/>
  <c r="AS249" i="20"/>
  <c r="AS260" i="20" s="1"/>
  <c r="AS318" i="20" s="1"/>
  <c r="AI249" i="20"/>
  <c r="AI260" i="20" s="1"/>
  <c r="AI318" i="20" s="1"/>
  <c r="AD249" i="20"/>
  <c r="AD260" i="20" s="1"/>
  <c r="AD318" i="20" s="1"/>
  <c r="Y249" i="20"/>
  <c r="Y260" i="20" s="1"/>
  <c r="Y318" i="20" s="1"/>
  <c r="T249" i="20"/>
  <c r="T260" i="20" s="1"/>
  <c r="T318" i="20" s="1"/>
  <c r="O249" i="20"/>
  <c r="O260" i="20" s="1"/>
  <c r="O318" i="20" s="1"/>
  <c r="J249" i="20"/>
  <c r="J260" i="20" s="1"/>
  <c r="J318" i="20" s="1"/>
  <c r="E249" i="20"/>
  <c r="E260" i="20" s="1"/>
  <c r="E318" i="20" s="1"/>
  <c r="BQ248" i="20"/>
  <c r="BL248" i="20"/>
  <c r="BG248" i="20"/>
  <c r="AX248" i="20"/>
  <c r="AW248" i="20"/>
  <c r="AW227" i="20" s="1"/>
  <c r="AS248" i="20"/>
  <c r="AI248" i="20"/>
  <c r="AD248" i="20"/>
  <c r="Y248" i="20"/>
  <c r="T248" i="20"/>
  <c r="O248" i="20"/>
  <c r="J248" i="20"/>
  <c r="E248" i="20"/>
  <c r="BQ247" i="20"/>
  <c r="BL247" i="20"/>
  <c r="BG247" i="20"/>
  <c r="AX247" i="20"/>
  <c r="AS247" i="20"/>
  <c r="AI247" i="20"/>
  <c r="AD247" i="20"/>
  <c r="Y247" i="20"/>
  <c r="T247" i="20"/>
  <c r="O247" i="20"/>
  <c r="J247" i="20"/>
  <c r="BC247" i="20" s="1"/>
  <c r="BV247" i="20" s="1"/>
  <c r="BQ246" i="20"/>
  <c r="BL246" i="20"/>
  <c r="BG246" i="20"/>
  <c r="AX246" i="20"/>
  <c r="AS246" i="20"/>
  <c r="AI246" i="20"/>
  <c r="AD246" i="20"/>
  <c r="Y246" i="20"/>
  <c r="T246" i="20"/>
  <c r="O246" i="20"/>
  <c r="J246" i="20"/>
  <c r="E246" i="20"/>
  <c r="BQ245" i="20"/>
  <c r="BL245" i="20"/>
  <c r="BL259" i="20" s="1"/>
  <c r="BG245" i="20"/>
  <c r="AX245" i="20"/>
  <c r="AS245" i="20"/>
  <c r="AS259" i="20" s="1"/>
  <c r="AI245" i="20"/>
  <c r="AD245" i="20"/>
  <c r="Y245" i="20"/>
  <c r="Y259" i="20" s="1"/>
  <c r="T245" i="20"/>
  <c r="T259" i="20" s="1"/>
  <c r="O245" i="20"/>
  <c r="J245" i="20"/>
  <c r="E245" i="20"/>
  <c r="BQ244" i="20"/>
  <c r="BL244" i="20"/>
  <c r="BG244" i="20"/>
  <c r="AX244" i="20"/>
  <c r="AS244" i="20"/>
  <c r="AI244" i="20"/>
  <c r="AD244" i="20"/>
  <c r="Y244" i="20"/>
  <c r="T244" i="20"/>
  <c r="O244" i="20"/>
  <c r="J244" i="20"/>
  <c r="E244" i="20"/>
  <c r="BQ243" i="20"/>
  <c r="BL243" i="20"/>
  <c r="BG243" i="20"/>
  <c r="AX243" i="20"/>
  <c r="AS243" i="20"/>
  <c r="AI243" i="20"/>
  <c r="AD243" i="20"/>
  <c r="Y243" i="20"/>
  <c r="T243" i="20"/>
  <c r="O243" i="20"/>
  <c r="J243" i="20"/>
  <c r="E243" i="20"/>
  <c r="BC243" i="20" s="1"/>
  <c r="BV243" i="20" s="1"/>
  <c r="BQ242" i="20"/>
  <c r="BL242" i="20"/>
  <c r="BG242" i="20"/>
  <c r="AX242" i="20"/>
  <c r="AS242" i="20"/>
  <c r="AI242" i="20"/>
  <c r="AD242" i="20"/>
  <c r="Y242" i="20"/>
  <c r="T242" i="20"/>
  <c r="O242" i="20"/>
  <c r="J242" i="20"/>
  <c r="E242" i="20"/>
  <c r="BQ241" i="20"/>
  <c r="BL241" i="20"/>
  <c r="BG241" i="20"/>
  <c r="AX241" i="20"/>
  <c r="AS241" i="20"/>
  <c r="AI241" i="20"/>
  <c r="AD241" i="20"/>
  <c r="Y241" i="20"/>
  <c r="T241" i="20"/>
  <c r="O241" i="20"/>
  <c r="J241" i="20"/>
  <c r="E241" i="20"/>
  <c r="BQ240" i="20"/>
  <c r="BL240" i="20"/>
  <c r="BG240" i="20"/>
  <c r="BG258" i="20" s="1"/>
  <c r="AX240" i="20"/>
  <c r="AS240" i="20"/>
  <c r="AI240" i="20"/>
  <c r="AD240" i="20"/>
  <c r="Y240" i="20"/>
  <c r="T240" i="20"/>
  <c r="O240" i="20"/>
  <c r="J240" i="20"/>
  <c r="E240" i="20"/>
  <c r="BQ239" i="20"/>
  <c r="BL239" i="20"/>
  <c r="BG239" i="20"/>
  <c r="AX239" i="20"/>
  <c r="AS239" i="20"/>
  <c r="AI239" i="20"/>
  <c r="AD239" i="20"/>
  <c r="Y239" i="20"/>
  <c r="T239" i="20"/>
  <c r="O239" i="20"/>
  <c r="J239" i="20"/>
  <c r="E239" i="20"/>
  <c r="BC239" i="20" s="1"/>
  <c r="BV239" i="20" s="1"/>
  <c r="BQ238" i="20"/>
  <c r="BL238" i="20"/>
  <c r="BG238" i="20"/>
  <c r="AX238" i="20"/>
  <c r="AS238" i="20"/>
  <c r="AI238" i="20"/>
  <c r="AD238" i="20"/>
  <c r="Y238" i="20"/>
  <c r="T238" i="20"/>
  <c r="O238" i="20"/>
  <c r="J238" i="20"/>
  <c r="E238" i="20"/>
  <c r="BQ237" i="20"/>
  <c r="BL237" i="20"/>
  <c r="BG237" i="20"/>
  <c r="AX237" i="20"/>
  <c r="AS237" i="20"/>
  <c r="AI237" i="20"/>
  <c r="AD237" i="20"/>
  <c r="Y237" i="20"/>
  <c r="T237" i="20"/>
  <c r="O237" i="20"/>
  <c r="J237" i="20"/>
  <c r="E237" i="20"/>
  <c r="BQ236" i="20"/>
  <c r="BL236" i="20"/>
  <c r="BG236" i="20"/>
  <c r="AX236" i="20"/>
  <c r="AS236" i="20"/>
  <c r="AI236" i="20"/>
  <c r="AD236" i="20"/>
  <c r="Y236" i="20"/>
  <c r="T236" i="20"/>
  <c r="O236" i="20"/>
  <c r="J236" i="20"/>
  <c r="E236" i="20"/>
  <c r="BQ235" i="20"/>
  <c r="BL235" i="20"/>
  <c r="BG235" i="20"/>
  <c r="AX235" i="20"/>
  <c r="AS235" i="20"/>
  <c r="AI235" i="20"/>
  <c r="AD235" i="20"/>
  <c r="Y235" i="20"/>
  <c r="T235" i="20"/>
  <c r="O235" i="20"/>
  <c r="J235" i="20"/>
  <c r="E235" i="20"/>
  <c r="BC235" i="20" s="1"/>
  <c r="BV235" i="20" s="1"/>
  <c r="BQ234" i="20"/>
  <c r="BL234" i="20"/>
  <c r="BG234" i="20"/>
  <c r="AX234" i="20"/>
  <c r="AS234" i="20"/>
  <c r="AI234" i="20"/>
  <c r="AD234" i="20"/>
  <c r="Y234" i="20"/>
  <c r="T234" i="20"/>
  <c r="O234" i="20"/>
  <c r="O227" i="20" s="1"/>
  <c r="J234" i="20"/>
  <c r="E234" i="20"/>
  <c r="BQ233" i="20"/>
  <c r="BG233" i="20"/>
  <c r="AX233" i="20"/>
  <c r="AS233" i="20"/>
  <c r="AI233" i="20"/>
  <c r="AD233" i="20"/>
  <c r="AC233" i="20"/>
  <c r="BP233" i="20" s="1"/>
  <c r="T233" i="20"/>
  <c r="O233" i="20"/>
  <c r="J233" i="20"/>
  <c r="E233" i="20"/>
  <c r="BQ232" i="20"/>
  <c r="BL232" i="20"/>
  <c r="BG232" i="20"/>
  <c r="AX232" i="20"/>
  <c r="AS232" i="20"/>
  <c r="AI232" i="20"/>
  <c r="AD232" i="20"/>
  <c r="Y232" i="20"/>
  <c r="T232" i="20"/>
  <c r="O232" i="20"/>
  <c r="J232" i="20"/>
  <c r="E232" i="20"/>
  <c r="BQ231" i="20"/>
  <c r="BL231" i="20"/>
  <c r="BG231" i="20"/>
  <c r="AX231" i="20"/>
  <c r="AS231" i="20"/>
  <c r="AI231" i="20"/>
  <c r="AD231" i="20"/>
  <c r="Y231" i="20"/>
  <c r="T231" i="20"/>
  <c r="O231" i="20"/>
  <c r="J231" i="20"/>
  <c r="E231" i="20"/>
  <c r="BQ230" i="20"/>
  <c r="BL230" i="20"/>
  <c r="BL261" i="20" s="1"/>
  <c r="BG230" i="20"/>
  <c r="BG261" i="20" s="1"/>
  <c r="AX230" i="20"/>
  <c r="AS230" i="20"/>
  <c r="AS261" i="20" s="1"/>
  <c r="AI230" i="20"/>
  <c r="AI261" i="20" s="1"/>
  <c r="AD230" i="20"/>
  <c r="Y230" i="20"/>
  <c r="T230" i="20"/>
  <c r="T261" i="20" s="1"/>
  <c r="O230" i="20"/>
  <c r="O261" i="20" s="1"/>
  <c r="J230" i="20"/>
  <c r="J261" i="20" s="1"/>
  <c r="E230" i="20"/>
  <c r="BQ229" i="20"/>
  <c r="BQ256" i="20" s="1"/>
  <c r="BQ316" i="20" s="1"/>
  <c r="BL229" i="20"/>
  <c r="BG229" i="20"/>
  <c r="AX229" i="20"/>
  <c r="AX256" i="20" s="1"/>
  <c r="AX316" i="20" s="1"/>
  <c r="AS229" i="20"/>
  <c r="AS256" i="20" s="1"/>
  <c r="AS316" i="20" s="1"/>
  <c r="AI229" i="20"/>
  <c r="AD229" i="20"/>
  <c r="AD228" i="20" s="1"/>
  <c r="Y229" i="20"/>
  <c r="Y256" i="20" s="1"/>
  <c r="Y316" i="20" s="1"/>
  <c r="T229" i="20"/>
  <c r="O229" i="20"/>
  <c r="J229" i="20"/>
  <c r="E229" i="20"/>
  <c r="E256" i="20" s="1"/>
  <c r="E316" i="20" s="1"/>
  <c r="BQ228" i="20"/>
  <c r="BO228" i="20"/>
  <c r="BN228" i="20"/>
  <c r="BM228" i="20"/>
  <c r="BF228" i="20"/>
  <c r="BF227" i="20" s="1"/>
  <c r="BE228" i="20"/>
  <c r="BE227" i="20" s="1"/>
  <c r="BD228" i="20"/>
  <c r="BD227" i="20" s="1"/>
  <c r="AH228" i="20"/>
  <c r="AG228" i="20"/>
  <c r="AF228" i="20"/>
  <c r="AE228" i="20"/>
  <c r="AC228" i="20"/>
  <c r="AB228" i="20"/>
  <c r="AA228" i="20"/>
  <c r="Z228" i="20"/>
  <c r="Y228" i="20"/>
  <c r="X228" i="20"/>
  <c r="W228" i="20"/>
  <c r="V228" i="20"/>
  <c r="U228" i="20"/>
  <c r="T228" i="20" s="1"/>
  <c r="O228" i="20"/>
  <c r="J228" i="20"/>
  <c r="I228" i="20"/>
  <c r="H228" i="20"/>
  <c r="G228" i="20"/>
  <c r="F228" i="20"/>
  <c r="E228" i="20"/>
  <c r="BU227" i="20"/>
  <c r="BT227" i="20"/>
  <c r="BS227" i="20"/>
  <c r="BR227" i="20"/>
  <c r="BO227" i="20"/>
  <c r="BN227" i="20"/>
  <c r="BM227" i="20"/>
  <c r="BK227" i="20"/>
  <c r="BJ227" i="20"/>
  <c r="BI227" i="20"/>
  <c r="BH227" i="20"/>
  <c r="BB227" i="20"/>
  <c r="BA227" i="20"/>
  <c r="AZ227" i="20"/>
  <c r="AY227" i="20"/>
  <c r="AV227" i="20"/>
  <c r="AU227" i="20"/>
  <c r="AT227" i="20"/>
  <c r="AR227" i="20"/>
  <c r="AR255" i="20" s="1"/>
  <c r="AQ227" i="20"/>
  <c r="AQ255" i="20" s="1"/>
  <c r="AP227" i="20"/>
  <c r="AP255" i="20" s="1"/>
  <c r="AO227" i="20"/>
  <c r="AO255" i="20" s="1"/>
  <c r="AN227" i="20"/>
  <c r="AN255" i="20" s="1"/>
  <c r="AM227" i="20"/>
  <c r="AL227" i="20"/>
  <c r="AK227" i="20"/>
  <c r="AJ227" i="20"/>
  <c r="AH227" i="20"/>
  <c r="AG227" i="20"/>
  <c r="AF227" i="20"/>
  <c r="AE227" i="20"/>
  <c r="AC227" i="20"/>
  <c r="AB227" i="20"/>
  <c r="AA227" i="20"/>
  <c r="Z227" i="20"/>
  <c r="X227" i="20"/>
  <c r="W227" i="20"/>
  <c r="V227" i="20"/>
  <c r="U227" i="20"/>
  <c r="S227" i="20"/>
  <c r="R227" i="20"/>
  <c r="Q227" i="20"/>
  <c r="P227" i="20"/>
  <c r="N227" i="20"/>
  <c r="M227" i="20"/>
  <c r="L227" i="20"/>
  <c r="K227" i="20"/>
  <c r="I227" i="20"/>
  <c r="H227" i="20"/>
  <c r="G227" i="20"/>
  <c r="F227" i="20"/>
  <c r="BQ226" i="20"/>
  <c r="BL226" i="20"/>
  <c r="BG226" i="20"/>
  <c r="AX226" i="20"/>
  <c r="AS226" i="20"/>
  <c r="AI226" i="20"/>
  <c r="AD226" i="20"/>
  <c r="Y226" i="20"/>
  <c r="T226" i="20"/>
  <c r="O226" i="20"/>
  <c r="J226" i="20"/>
  <c r="E226" i="20"/>
  <c r="BQ225" i="20"/>
  <c r="BL225" i="20"/>
  <c r="BG225" i="20"/>
  <c r="BG259" i="20" s="1"/>
  <c r="AX225" i="20"/>
  <c r="AS225" i="20"/>
  <c r="AI225" i="20"/>
  <c r="AD225" i="20"/>
  <c r="Y225" i="20"/>
  <c r="T225" i="20"/>
  <c r="O225" i="20"/>
  <c r="J225" i="20"/>
  <c r="BC225" i="20" s="1"/>
  <c r="BV225" i="20" s="1"/>
  <c r="E225" i="20"/>
  <c r="BQ224" i="20"/>
  <c r="BL224" i="20"/>
  <c r="BG224" i="20"/>
  <c r="AX224" i="20"/>
  <c r="AS224" i="20"/>
  <c r="AI224" i="20"/>
  <c r="AD224" i="20"/>
  <c r="Y224" i="20"/>
  <c r="T224" i="20"/>
  <c r="O224" i="20"/>
  <c r="J224" i="20"/>
  <c r="E224" i="20"/>
  <c r="BQ223" i="20"/>
  <c r="BL223" i="20"/>
  <c r="BG223" i="20"/>
  <c r="AX223" i="20"/>
  <c r="AS223" i="20"/>
  <c r="AI223" i="20"/>
  <c r="AD223" i="20"/>
  <c r="Y223" i="20"/>
  <c r="T223" i="20"/>
  <c r="O223" i="20"/>
  <c r="J223" i="20"/>
  <c r="BC223" i="20" s="1"/>
  <c r="BV223" i="20" s="1"/>
  <c r="E223" i="20"/>
  <c r="BQ222" i="20"/>
  <c r="BL222" i="20"/>
  <c r="BG222" i="20"/>
  <c r="AX222" i="20"/>
  <c r="AS222" i="20"/>
  <c r="AI222" i="20"/>
  <c r="AD222" i="20"/>
  <c r="Y222" i="20"/>
  <c r="T222" i="20"/>
  <c r="O222" i="20"/>
  <c r="J222" i="20"/>
  <c r="E222" i="20"/>
  <c r="BQ221" i="20"/>
  <c r="BL221" i="20"/>
  <c r="BG221" i="20"/>
  <c r="AX221" i="20"/>
  <c r="AS221" i="20"/>
  <c r="AI221" i="20"/>
  <c r="AD221" i="20"/>
  <c r="Y221" i="20"/>
  <c r="T221" i="20"/>
  <c r="O221" i="20"/>
  <c r="J221" i="20"/>
  <c r="E221" i="20"/>
  <c r="BQ220" i="20"/>
  <c r="BL220" i="20"/>
  <c r="BG220" i="20"/>
  <c r="AX220" i="20"/>
  <c r="AS220" i="20"/>
  <c r="AI220" i="20"/>
  <c r="AD220" i="20"/>
  <c r="Y220" i="20"/>
  <c r="T220" i="20"/>
  <c r="T258" i="20" s="1"/>
  <c r="O220" i="20"/>
  <c r="J220" i="20"/>
  <c r="E220" i="20"/>
  <c r="BQ219" i="20"/>
  <c r="BL219" i="20"/>
  <c r="BG219" i="20"/>
  <c r="AX219" i="20"/>
  <c r="AS219" i="20"/>
  <c r="AI219" i="20"/>
  <c r="AD219" i="20"/>
  <c r="Y219" i="20"/>
  <c r="T219" i="20"/>
  <c r="O219" i="20"/>
  <c r="J219" i="20"/>
  <c r="BC219" i="20" s="1"/>
  <c r="BV219" i="20" s="1"/>
  <c r="E219" i="20"/>
  <c r="BQ218" i="20"/>
  <c r="BL218" i="20"/>
  <c r="BG218" i="20"/>
  <c r="AX218" i="20"/>
  <c r="AS218" i="20"/>
  <c r="AI218" i="20"/>
  <c r="AD218" i="20"/>
  <c r="Y218" i="20"/>
  <c r="T218" i="20"/>
  <c r="O218" i="20"/>
  <c r="J218" i="20"/>
  <c r="E218" i="20"/>
  <c r="BQ217" i="20"/>
  <c r="BL217" i="20"/>
  <c r="BG217" i="20"/>
  <c r="AX217" i="20"/>
  <c r="AS217" i="20"/>
  <c r="AI217" i="20"/>
  <c r="AD217" i="20"/>
  <c r="Y217" i="20"/>
  <c r="T217" i="20"/>
  <c r="O217" i="20"/>
  <c r="J217" i="20"/>
  <c r="BC217" i="20" s="1"/>
  <c r="BV217" i="20" s="1"/>
  <c r="E217" i="20"/>
  <c r="BQ216" i="20"/>
  <c r="BL216" i="20"/>
  <c r="BG216" i="20"/>
  <c r="AX216" i="20"/>
  <c r="AS216" i="20"/>
  <c r="AI216" i="20"/>
  <c r="AD216" i="20"/>
  <c r="Y216" i="20"/>
  <c r="T216" i="20"/>
  <c r="O216" i="20"/>
  <c r="J216" i="20"/>
  <c r="E216" i="20"/>
  <c r="BQ215" i="20"/>
  <c r="BL215" i="20"/>
  <c r="BG215" i="20"/>
  <c r="AX215" i="20"/>
  <c r="AS215" i="20"/>
  <c r="AI215" i="20"/>
  <c r="AD215" i="20"/>
  <c r="Y215" i="20"/>
  <c r="T215" i="20"/>
  <c r="O215" i="20"/>
  <c r="J215" i="20"/>
  <c r="BC215" i="20" s="1"/>
  <c r="BV215" i="20" s="1"/>
  <c r="E215" i="20"/>
  <c r="BQ214" i="20"/>
  <c r="BG214" i="20"/>
  <c r="AX214" i="20"/>
  <c r="AS214" i="20"/>
  <c r="AI214" i="20"/>
  <c r="AD214" i="20"/>
  <c r="AC214" i="20"/>
  <c r="T214" i="20"/>
  <c r="O214" i="20"/>
  <c r="J214" i="20"/>
  <c r="E214" i="20"/>
  <c r="BQ213" i="20"/>
  <c r="BL213" i="20"/>
  <c r="BG213" i="20"/>
  <c r="AX213" i="20"/>
  <c r="AS213" i="20"/>
  <c r="AI213" i="20"/>
  <c r="AD213" i="20"/>
  <c r="Y213" i="20"/>
  <c r="T213" i="20"/>
  <c r="O213" i="20"/>
  <c r="J213" i="20"/>
  <c r="E213" i="20"/>
  <c r="BC213" i="20" s="1"/>
  <c r="BV213" i="20" s="1"/>
  <c r="BQ212" i="20"/>
  <c r="BL212" i="20"/>
  <c r="BG212" i="20"/>
  <c r="AX212" i="20"/>
  <c r="AS212" i="20"/>
  <c r="AI212" i="20"/>
  <c r="AD212" i="20"/>
  <c r="Y212" i="20"/>
  <c r="T212" i="20"/>
  <c r="O212" i="20"/>
  <c r="J212" i="20"/>
  <c r="E212" i="20"/>
  <c r="BQ211" i="20"/>
  <c r="BL211" i="20"/>
  <c r="BG211" i="20"/>
  <c r="AX211" i="20"/>
  <c r="AS211" i="20"/>
  <c r="AI211" i="20"/>
  <c r="AD211" i="20"/>
  <c r="Y211" i="20"/>
  <c r="T211" i="20"/>
  <c r="O211" i="20"/>
  <c r="J211" i="20"/>
  <c r="E211" i="20"/>
  <c r="BQ210" i="20"/>
  <c r="BL210" i="20"/>
  <c r="BG210" i="20"/>
  <c r="AX210" i="20"/>
  <c r="AS210" i="20"/>
  <c r="AI210" i="20"/>
  <c r="AI209" i="20" s="1"/>
  <c r="AD210" i="20"/>
  <c r="Y210" i="20"/>
  <c r="T210" i="20"/>
  <c r="O210" i="20"/>
  <c r="O209" i="20" s="1"/>
  <c r="J210" i="20"/>
  <c r="E210" i="20"/>
  <c r="BU209" i="20"/>
  <c r="BU255" i="20" s="1"/>
  <c r="BT209" i="20"/>
  <c r="BT255" i="20" s="1"/>
  <c r="BS209" i="20"/>
  <c r="BR209" i="20"/>
  <c r="BR255" i="20" s="1"/>
  <c r="BO209" i="20"/>
  <c r="BO255" i="20" s="1"/>
  <c r="BN209" i="20"/>
  <c r="BM209" i="20"/>
  <c r="BM255" i="20" s="1"/>
  <c r="BK209" i="20"/>
  <c r="BJ209" i="20"/>
  <c r="BJ255" i="20" s="1"/>
  <c r="BI209" i="20"/>
  <c r="BI255" i="20" s="1"/>
  <c r="BH209" i="20"/>
  <c r="BH255" i="20" s="1"/>
  <c r="BF209" i="20"/>
  <c r="BF255" i="20" s="1"/>
  <c r="BE209" i="20"/>
  <c r="BD209" i="20"/>
  <c r="BD255" i="20" s="1"/>
  <c r="BB209" i="20"/>
  <c r="BA209" i="20"/>
  <c r="BA255" i="20" s="1"/>
  <c r="AZ209" i="20"/>
  <c r="AZ255" i="20" s="1"/>
  <c r="AY209" i="20"/>
  <c r="AY255" i="20" s="1"/>
  <c r="AW209" i="20"/>
  <c r="AW255" i="20" s="1"/>
  <c r="AV209" i="20"/>
  <c r="AV255" i="20" s="1"/>
  <c r="AU209" i="20"/>
  <c r="AT209" i="20"/>
  <c r="AM209" i="20"/>
  <c r="AM255" i="20" s="1"/>
  <c r="AL209" i="20"/>
  <c r="AL255" i="20" s="1"/>
  <c r="AK209" i="20"/>
  <c r="AK255" i="20" s="1"/>
  <c r="AJ209" i="20"/>
  <c r="AJ255" i="20" s="1"/>
  <c r="AH209" i="20"/>
  <c r="AH255" i="20" s="1"/>
  <c r="AG209" i="20"/>
  <c r="AG255" i="20" s="1"/>
  <c r="AF209" i="20"/>
  <c r="AF255" i="20" s="1"/>
  <c r="AE209" i="20"/>
  <c r="AE255" i="20" s="1"/>
  <c r="AB209" i="20"/>
  <c r="AB255" i="20" s="1"/>
  <c r="AA209" i="20"/>
  <c r="AA255" i="20" s="1"/>
  <c r="Z209" i="20"/>
  <c r="Z255" i="20" s="1"/>
  <c r="X209" i="20"/>
  <c r="X255" i="20" s="1"/>
  <c r="W209" i="20"/>
  <c r="W255" i="20" s="1"/>
  <c r="V209" i="20"/>
  <c r="V255" i="20" s="1"/>
  <c r="U209" i="20"/>
  <c r="U255" i="20" s="1"/>
  <c r="S209" i="20"/>
  <c r="R209" i="20"/>
  <c r="Q209" i="20"/>
  <c r="Q255" i="20" s="1"/>
  <c r="P209" i="20"/>
  <c r="P255" i="20" s="1"/>
  <c r="N209" i="20"/>
  <c r="M209" i="20"/>
  <c r="M255" i="20" s="1"/>
  <c r="L209" i="20"/>
  <c r="L255" i="20" s="1"/>
  <c r="K209" i="20"/>
  <c r="I209" i="20"/>
  <c r="I255" i="20" s="1"/>
  <c r="H209" i="20"/>
  <c r="H255" i="20" s="1"/>
  <c r="G209" i="20"/>
  <c r="F209" i="20"/>
  <c r="BU207" i="20"/>
  <c r="BU315" i="20" s="1"/>
  <c r="BT207" i="20"/>
  <c r="BT315" i="20" s="1"/>
  <c r="BS207" i="20"/>
  <c r="BS315" i="20" s="1"/>
  <c r="BR207" i="20"/>
  <c r="BR315" i="20" s="1"/>
  <c r="BP207" i="20"/>
  <c r="BP315" i="20" s="1"/>
  <c r="BO207" i="20"/>
  <c r="BO315" i="20" s="1"/>
  <c r="BN207" i="20"/>
  <c r="BN315" i="20" s="1"/>
  <c r="BM207" i="20"/>
  <c r="BM315" i="20" s="1"/>
  <c r="BK207" i="20"/>
  <c r="BK315" i="20" s="1"/>
  <c r="BJ207" i="20"/>
  <c r="BJ315" i="20" s="1"/>
  <c r="BI207" i="20"/>
  <c r="BI315" i="20" s="1"/>
  <c r="BH207" i="20"/>
  <c r="BH315" i="20" s="1"/>
  <c r="BF207" i="20"/>
  <c r="BF315" i="20" s="1"/>
  <c r="BE207" i="20"/>
  <c r="BE315" i="20" s="1"/>
  <c r="BD207" i="20"/>
  <c r="BD315" i="20" s="1"/>
  <c r="BB207" i="20"/>
  <c r="BB315" i="20" s="1"/>
  <c r="BA207" i="20"/>
  <c r="BA315" i="20" s="1"/>
  <c r="AZ207" i="20"/>
  <c r="AZ315" i="20" s="1"/>
  <c r="AY207" i="20"/>
  <c r="AY315" i="20" s="1"/>
  <c r="AW207" i="20"/>
  <c r="AV207" i="20"/>
  <c r="AV315" i="20" s="1"/>
  <c r="AU207" i="20"/>
  <c r="AU315" i="20" s="1"/>
  <c r="AT207" i="20"/>
  <c r="AT315" i="20" s="1"/>
  <c r="AS207" i="20"/>
  <c r="AR207" i="20"/>
  <c r="AR315" i="20" s="1"/>
  <c r="AQ207" i="20"/>
  <c r="AQ315" i="20" s="1"/>
  <c r="AP207" i="20"/>
  <c r="AP315" i="20" s="1"/>
  <c r="AO207" i="20"/>
  <c r="AO315" i="20" s="1"/>
  <c r="AN207" i="20"/>
  <c r="AN315" i="20" s="1"/>
  <c r="AM207" i="20"/>
  <c r="AM315" i="20" s="1"/>
  <c r="AL207" i="20"/>
  <c r="AL315" i="20" s="1"/>
  <c r="AK207" i="20"/>
  <c r="AK315" i="20" s="1"/>
  <c r="AJ207" i="20"/>
  <c r="AJ315" i="20" s="1"/>
  <c r="AI207" i="20"/>
  <c r="AI315" i="20" s="1"/>
  <c r="AH207" i="20"/>
  <c r="AH315" i="20" s="1"/>
  <c r="AG207" i="20"/>
  <c r="AG315" i="20" s="1"/>
  <c r="AF207" i="20"/>
  <c r="AF315" i="20" s="1"/>
  <c r="AE207" i="20"/>
  <c r="AE315" i="20" s="1"/>
  <c r="AD207" i="20"/>
  <c r="AD315" i="20" s="1"/>
  <c r="AC207" i="20"/>
  <c r="AC315" i="20" s="1"/>
  <c r="AB207" i="20"/>
  <c r="AB315" i="20" s="1"/>
  <c r="AA207" i="20"/>
  <c r="AA315" i="20" s="1"/>
  <c r="Z207" i="20"/>
  <c r="Z315" i="20" s="1"/>
  <c r="Y207" i="20"/>
  <c r="Y315" i="20" s="1"/>
  <c r="X207" i="20"/>
  <c r="X315" i="20" s="1"/>
  <c r="W207" i="20"/>
  <c r="W315" i="20" s="1"/>
  <c r="V207" i="20"/>
  <c r="V315" i="20" s="1"/>
  <c r="U207" i="20"/>
  <c r="U315" i="20" s="1"/>
  <c r="T207" i="20"/>
  <c r="T315" i="20" s="1"/>
  <c r="S207" i="20"/>
  <c r="S315" i="20" s="1"/>
  <c r="R207" i="20"/>
  <c r="R315" i="20" s="1"/>
  <c r="Q207" i="20"/>
  <c r="Q315" i="20" s="1"/>
  <c r="P207" i="20"/>
  <c r="P315" i="20" s="1"/>
  <c r="O207" i="20"/>
  <c r="O315" i="20" s="1"/>
  <c r="N207" i="20"/>
  <c r="N315" i="20" s="1"/>
  <c r="M207" i="20"/>
  <c r="M315" i="20" s="1"/>
  <c r="L207" i="20"/>
  <c r="L315" i="20" s="1"/>
  <c r="K207" i="20"/>
  <c r="K315" i="20" s="1"/>
  <c r="J207" i="20"/>
  <c r="J315" i="20" s="1"/>
  <c r="H207" i="20"/>
  <c r="H315" i="20" s="1"/>
  <c r="G207" i="20"/>
  <c r="G315" i="20" s="1"/>
  <c r="F207" i="20"/>
  <c r="F315" i="20" s="1"/>
  <c r="BU206" i="20"/>
  <c r="BT206" i="20"/>
  <c r="BS206" i="20"/>
  <c r="BR206" i="20"/>
  <c r="BP206" i="20"/>
  <c r="BO206" i="20"/>
  <c r="BN206" i="20"/>
  <c r="BM206" i="20"/>
  <c r="BK206" i="20"/>
  <c r="BJ206" i="20"/>
  <c r="BI206" i="20"/>
  <c r="BH206" i="20"/>
  <c r="BH319" i="20" s="1"/>
  <c r="BF206" i="20"/>
  <c r="BE206" i="20"/>
  <c r="BD206" i="20"/>
  <c r="BB206" i="20"/>
  <c r="BA206" i="20"/>
  <c r="AZ206" i="20"/>
  <c r="AY206" i="20"/>
  <c r="AW206" i="20"/>
  <c r="AW319" i="20" s="1"/>
  <c r="AV206" i="20"/>
  <c r="AV319" i="20" s="1"/>
  <c r="AU206" i="20"/>
  <c r="AT206" i="20"/>
  <c r="AS206" i="20"/>
  <c r="AR206" i="20"/>
  <c r="AR319" i="20" s="1"/>
  <c r="AQ206" i="20"/>
  <c r="AP206" i="20"/>
  <c r="AO206" i="20"/>
  <c r="AO319" i="20" s="1"/>
  <c r="AN206" i="20"/>
  <c r="AN319" i="20" s="1"/>
  <c r="AM206" i="20"/>
  <c r="AL206" i="20"/>
  <c r="AK206" i="20"/>
  <c r="AJ206" i="20"/>
  <c r="AH206" i="20"/>
  <c r="AG206" i="20"/>
  <c r="AF206" i="20"/>
  <c r="AE206" i="20"/>
  <c r="AC206" i="20"/>
  <c r="AB206" i="20"/>
  <c r="AA206" i="20"/>
  <c r="AA319" i="20" s="1"/>
  <c r="Z206" i="20"/>
  <c r="X206" i="20"/>
  <c r="W206" i="20"/>
  <c r="W319" i="20" s="1"/>
  <c r="V206" i="20"/>
  <c r="U206" i="20"/>
  <c r="S206" i="20"/>
  <c r="S319" i="20" s="1"/>
  <c r="R206" i="20"/>
  <c r="Q206" i="20"/>
  <c r="P206" i="20"/>
  <c r="N206" i="20"/>
  <c r="M206" i="20"/>
  <c r="L206" i="20"/>
  <c r="K206" i="20"/>
  <c r="K319" i="20" s="1"/>
  <c r="I206" i="20"/>
  <c r="H206" i="20"/>
  <c r="G206" i="20"/>
  <c r="G319" i="20" s="1"/>
  <c r="F206" i="20"/>
  <c r="BU205" i="20"/>
  <c r="BU314" i="20" s="1"/>
  <c r="BT205" i="20"/>
  <c r="BT314" i="20" s="1"/>
  <c r="BS205" i="20"/>
  <c r="BS314" i="20" s="1"/>
  <c r="BR205" i="20"/>
  <c r="BR314" i="20" s="1"/>
  <c r="BP205" i="20"/>
  <c r="BP314" i="20" s="1"/>
  <c r="BO205" i="20"/>
  <c r="BO314" i="20" s="1"/>
  <c r="BN205" i="20"/>
  <c r="BN314" i="20" s="1"/>
  <c r="BM205" i="20"/>
  <c r="BM314" i="20" s="1"/>
  <c r="BK205" i="20"/>
  <c r="BK314" i="20" s="1"/>
  <c r="BJ205" i="20"/>
  <c r="BJ314" i="20" s="1"/>
  <c r="BI205" i="20"/>
  <c r="BI314" i="20" s="1"/>
  <c r="BH205" i="20"/>
  <c r="BH314" i="20" s="1"/>
  <c r="BB205" i="20"/>
  <c r="BB314" i="20" s="1"/>
  <c r="BA205" i="20"/>
  <c r="BA314" i="20" s="1"/>
  <c r="AZ205" i="20"/>
  <c r="AZ314" i="20" s="1"/>
  <c r="AY205" i="20"/>
  <c r="AY314" i="20" s="1"/>
  <c r="AW205" i="20"/>
  <c r="AW314" i="20" s="1"/>
  <c r="AV205" i="20"/>
  <c r="AV314" i="20" s="1"/>
  <c r="AU205" i="20"/>
  <c r="AU314" i="20" s="1"/>
  <c r="AT205" i="20"/>
  <c r="AT314" i="20" s="1"/>
  <c r="AS205" i="20"/>
  <c r="AS314" i="20" s="1"/>
  <c r="AR205" i="20"/>
  <c r="AR314" i="20" s="1"/>
  <c r="AQ205" i="20"/>
  <c r="AQ314" i="20" s="1"/>
  <c r="AP205" i="20"/>
  <c r="AP314" i="20" s="1"/>
  <c r="AO205" i="20"/>
  <c r="AO314" i="20" s="1"/>
  <c r="AN205" i="20"/>
  <c r="AN314" i="20" s="1"/>
  <c r="AM205" i="20"/>
  <c r="AM314" i="20" s="1"/>
  <c r="AL205" i="20"/>
  <c r="AL314" i="20" s="1"/>
  <c r="AK205" i="20"/>
  <c r="AK314" i="20" s="1"/>
  <c r="AJ205" i="20"/>
  <c r="AJ314" i="20" s="1"/>
  <c r="AH205" i="20"/>
  <c r="AH314" i="20" s="1"/>
  <c r="AG205" i="20"/>
  <c r="AG314" i="20" s="1"/>
  <c r="AF205" i="20"/>
  <c r="AF314" i="20" s="1"/>
  <c r="AE205" i="20"/>
  <c r="AE314" i="20" s="1"/>
  <c r="AC205" i="20"/>
  <c r="AC314" i="20" s="1"/>
  <c r="AB205" i="20"/>
  <c r="AB314" i="20" s="1"/>
  <c r="AA205" i="20"/>
  <c r="AA314" i="20" s="1"/>
  <c r="Z205" i="20"/>
  <c r="Z314" i="20" s="1"/>
  <c r="X205" i="20"/>
  <c r="X314" i="20" s="1"/>
  <c r="W205" i="20"/>
  <c r="W314" i="20" s="1"/>
  <c r="V205" i="20"/>
  <c r="V314" i="20" s="1"/>
  <c r="U205" i="20"/>
  <c r="U314" i="20" s="1"/>
  <c r="S205" i="20"/>
  <c r="S314" i="20" s="1"/>
  <c r="R205" i="20"/>
  <c r="R314" i="20" s="1"/>
  <c r="Q205" i="20"/>
  <c r="Q314" i="20" s="1"/>
  <c r="P205" i="20"/>
  <c r="P314" i="20" s="1"/>
  <c r="N205" i="20"/>
  <c r="N314" i="20" s="1"/>
  <c r="M205" i="20"/>
  <c r="M314" i="20" s="1"/>
  <c r="L205" i="20"/>
  <c r="L314" i="20" s="1"/>
  <c r="K205" i="20"/>
  <c r="K314" i="20" s="1"/>
  <c r="I205" i="20"/>
  <c r="I314" i="20" s="1"/>
  <c r="H205" i="20"/>
  <c r="H314" i="20" s="1"/>
  <c r="G205" i="20"/>
  <c r="G314" i="20" s="1"/>
  <c r="F205" i="20"/>
  <c r="F314" i="20" s="1"/>
  <c r="BU204" i="20"/>
  <c r="BU313" i="20" s="1"/>
  <c r="BT204" i="20"/>
  <c r="BT313" i="20" s="1"/>
  <c r="BS204" i="20"/>
  <c r="BS313" i="20" s="1"/>
  <c r="BR204" i="20"/>
  <c r="BR313" i="20" s="1"/>
  <c r="BP204" i="20"/>
  <c r="BP313" i="20" s="1"/>
  <c r="BO204" i="20"/>
  <c r="BO313" i="20" s="1"/>
  <c r="BN204" i="20"/>
  <c r="BN313" i="20" s="1"/>
  <c r="BM204" i="20"/>
  <c r="BM313" i="20" s="1"/>
  <c r="BK204" i="20"/>
  <c r="BK313" i="20" s="1"/>
  <c r="BJ204" i="20"/>
  <c r="BJ313" i="20" s="1"/>
  <c r="BI204" i="20"/>
  <c r="BI313" i="20" s="1"/>
  <c r="BH204" i="20"/>
  <c r="BH313" i="20" s="1"/>
  <c r="BF204" i="20"/>
  <c r="BF313" i="20" s="1"/>
  <c r="BE204" i="20"/>
  <c r="BE313" i="20" s="1"/>
  <c r="BD204" i="20"/>
  <c r="BD313" i="20" s="1"/>
  <c r="BB204" i="20"/>
  <c r="BB313" i="20" s="1"/>
  <c r="BA204" i="20"/>
  <c r="BA313" i="20" s="1"/>
  <c r="AZ204" i="20"/>
  <c r="AZ313" i="20" s="1"/>
  <c r="AY204" i="20"/>
  <c r="AY313" i="20" s="1"/>
  <c r="AW204" i="20"/>
  <c r="AW313" i="20" s="1"/>
  <c r="AV204" i="20"/>
  <c r="AV313" i="20" s="1"/>
  <c r="AU204" i="20"/>
  <c r="AU313" i="20" s="1"/>
  <c r="AT204" i="20"/>
  <c r="AT313" i="20" s="1"/>
  <c r="AS204" i="20"/>
  <c r="AS313" i="20" s="1"/>
  <c r="AR204" i="20"/>
  <c r="AR313" i="20" s="1"/>
  <c r="AQ204" i="20"/>
  <c r="AQ313" i="20" s="1"/>
  <c r="AP204" i="20"/>
  <c r="AP313" i="20" s="1"/>
  <c r="AO204" i="20"/>
  <c r="AO313" i="20" s="1"/>
  <c r="AN204" i="20"/>
  <c r="AN313" i="20" s="1"/>
  <c r="AM204" i="20"/>
  <c r="AM313" i="20" s="1"/>
  <c r="AL204" i="20"/>
  <c r="AL313" i="20" s="1"/>
  <c r="AK204" i="20"/>
  <c r="AK313" i="20" s="1"/>
  <c r="AJ204" i="20"/>
  <c r="AJ313" i="20" s="1"/>
  <c r="AH204" i="20"/>
  <c r="AH313" i="20" s="1"/>
  <c r="AG204" i="20"/>
  <c r="AG313" i="20" s="1"/>
  <c r="AF204" i="20"/>
  <c r="AF313" i="20" s="1"/>
  <c r="AE204" i="20"/>
  <c r="AE313" i="20" s="1"/>
  <c r="AC204" i="20"/>
  <c r="AC313" i="20" s="1"/>
  <c r="AB204" i="20"/>
  <c r="AB313" i="20" s="1"/>
  <c r="AA204" i="20"/>
  <c r="AA313" i="20" s="1"/>
  <c r="Z204" i="20"/>
  <c r="Z313" i="20" s="1"/>
  <c r="X204" i="20"/>
  <c r="X313" i="20" s="1"/>
  <c r="W204" i="20"/>
  <c r="W313" i="20" s="1"/>
  <c r="V204" i="20"/>
  <c r="V313" i="20" s="1"/>
  <c r="U204" i="20"/>
  <c r="U313" i="20" s="1"/>
  <c r="S204" i="20"/>
  <c r="S313" i="20" s="1"/>
  <c r="R204" i="20"/>
  <c r="R313" i="20" s="1"/>
  <c r="Q204" i="20"/>
  <c r="Q313" i="20" s="1"/>
  <c r="P204" i="20"/>
  <c r="P313" i="20" s="1"/>
  <c r="N204" i="20"/>
  <c r="N313" i="20" s="1"/>
  <c r="M204" i="20"/>
  <c r="M313" i="20" s="1"/>
  <c r="L204" i="20"/>
  <c r="L313" i="20" s="1"/>
  <c r="K204" i="20"/>
  <c r="K313" i="20" s="1"/>
  <c r="I204" i="20"/>
  <c r="I313" i="20" s="1"/>
  <c r="H204" i="20"/>
  <c r="H313" i="20" s="1"/>
  <c r="G204" i="20"/>
  <c r="G313" i="20" s="1"/>
  <c r="F204" i="20"/>
  <c r="F313" i="20" s="1"/>
  <c r="BU203" i="20"/>
  <c r="BU312" i="20" s="1"/>
  <c r="BT203" i="20"/>
  <c r="BT312" i="20" s="1"/>
  <c r="BS203" i="20"/>
  <c r="BS312" i="20" s="1"/>
  <c r="BR203" i="20"/>
  <c r="BR312" i="20" s="1"/>
  <c r="BO203" i="20"/>
  <c r="BO312" i="20" s="1"/>
  <c r="BN203" i="20"/>
  <c r="BN312" i="20" s="1"/>
  <c r="BM203" i="20"/>
  <c r="BM312" i="20" s="1"/>
  <c r="BK203" i="20"/>
  <c r="BK312" i="20" s="1"/>
  <c r="BJ203" i="20"/>
  <c r="BJ312" i="20" s="1"/>
  <c r="BI203" i="20"/>
  <c r="BI312" i="20" s="1"/>
  <c r="BH203" i="20"/>
  <c r="BH312" i="20" s="1"/>
  <c r="BB203" i="20"/>
  <c r="BB312" i="20" s="1"/>
  <c r="BA203" i="20"/>
  <c r="BA312" i="20" s="1"/>
  <c r="AZ203" i="20"/>
  <c r="AZ312" i="20" s="1"/>
  <c r="AY203" i="20"/>
  <c r="AY312" i="20" s="1"/>
  <c r="AW203" i="20"/>
  <c r="AW312" i="20" s="1"/>
  <c r="AV203" i="20"/>
  <c r="AV312" i="20" s="1"/>
  <c r="AU203" i="20"/>
  <c r="AU312" i="20" s="1"/>
  <c r="AT203" i="20"/>
  <c r="AT312" i="20" s="1"/>
  <c r="AS203" i="20"/>
  <c r="AS312" i="20" s="1"/>
  <c r="AR203" i="20"/>
  <c r="AR312" i="20" s="1"/>
  <c r="AQ203" i="20"/>
  <c r="AQ312" i="20" s="1"/>
  <c r="AP203" i="20"/>
  <c r="AP312" i="20" s="1"/>
  <c r="AO203" i="20"/>
  <c r="AO312" i="20" s="1"/>
  <c r="AN203" i="20"/>
  <c r="AN312" i="20" s="1"/>
  <c r="AM203" i="20"/>
  <c r="AM312" i="20" s="1"/>
  <c r="AL203" i="20"/>
  <c r="AL312" i="20" s="1"/>
  <c r="AK203" i="20"/>
  <c r="AK312" i="20" s="1"/>
  <c r="AJ203" i="20"/>
  <c r="AJ312" i="20" s="1"/>
  <c r="AG203" i="20"/>
  <c r="AG312" i="20" s="1"/>
  <c r="AF203" i="20"/>
  <c r="AF312" i="20" s="1"/>
  <c r="AE203" i="20"/>
  <c r="AE312" i="20" s="1"/>
  <c r="AB203" i="20"/>
  <c r="AB312" i="20" s="1"/>
  <c r="AA203" i="20"/>
  <c r="AA312" i="20" s="1"/>
  <c r="Z203" i="20"/>
  <c r="Z312" i="20" s="1"/>
  <c r="X203" i="20"/>
  <c r="X312" i="20" s="1"/>
  <c r="W203" i="20"/>
  <c r="W312" i="20" s="1"/>
  <c r="V203" i="20"/>
  <c r="V312" i="20" s="1"/>
  <c r="U203" i="20"/>
  <c r="U312" i="20" s="1"/>
  <c r="S203" i="20"/>
  <c r="S312" i="20" s="1"/>
  <c r="R203" i="20"/>
  <c r="R312" i="20" s="1"/>
  <c r="Q203" i="20"/>
  <c r="Q312" i="20" s="1"/>
  <c r="P203" i="20"/>
  <c r="P312" i="20" s="1"/>
  <c r="N203" i="20"/>
  <c r="N312" i="20" s="1"/>
  <c r="M203" i="20"/>
  <c r="M312" i="20" s="1"/>
  <c r="L203" i="20"/>
  <c r="L312" i="20" s="1"/>
  <c r="K203" i="20"/>
  <c r="K312" i="20" s="1"/>
  <c r="I203" i="20"/>
  <c r="I312" i="20" s="1"/>
  <c r="H203" i="20"/>
  <c r="H312" i="20" s="1"/>
  <c r="G203" i="20"/>
  <c r="G312" i="20" s="1"/>
  <c r="F203" i="20"/>
  <c r="F312" i="20" s="1"/>
  <c r="BU202" i="20"/>
  <c r="BU311" i="20" s="1"/>
  <c r="BT202" i="20"/>
  <c r="BT311" i="20" s="1"/>
  <c r="BS202" i="20"/>
  <c r="BS311" i="20" s="1"/>
  <c r="BR202" i="20"/>
  <c r="BR311" i="20" s="1"/>
  <c r="BP202" i="20"/>
  <c r="BP311" i="20" s="1"/>
  <c r="BO202" i="20"/>
  <c r="BO311" i="20" s="1"/>
  <c r="BN202" i="20"/>
  <c r="BN311" i="20" s="1"/>
  <c r="BM202" i="20"/>
  <c r="BM311" i="20" s="1"/>
  <c r="BK202" i="20"/>
  <c r="BK311" i="20" s="1"/>
  <c r="BJ202" i="20"/>
  <c r="BJ311" i="20" s="1"/>
  <c r="BI202" i="20"/>
  <c r="BI311" i="20" s="1"/>
  <c r="BH202" i="20"/>
  <c r="BH311" i="20" s="1"/>
  <c r="BB202" i="20"/>
  <c r="BB311" i="20" s="1"/>
  <c r="BA202" i="20"/>
  <c r="BA311" i="20" s="1"/>
  <c r="AZ202" i="20"/>
  <c r="AZ311" i="20" s="1"/>
  <c r="AY202" i="20"/>
  <c r="AY311" i="20" s="1"/>
  <c r="AW202" i="20"/>
  <c r="AW311" i="20" s="1"/>
  <c r="AV202" i="20"/>
  <c r="AV311" i="20" s="1"/>
  <c r="AU202" i="20"/>
  <c r="AU311" i="20" s="1"/>
  <c r="AT202" i="20"/>
  <c r="AT311" i="20" s="1"/>
  <c r="AS202" i="20"/>
  <c r="AS311" i="20" s="1"/>
  <c r="AR202" i="20"/>
  <c r="AR311" i="20" s="1"/>
  <c r="AQ202" i="20"/>
  <c r="AQ311" i="20" s="1"/>
  <c r="AP202" i="20"/>
  <c r="AP311" i="20" s="1"/>
  <c r="AO202" i="20"/>
  <c r="AO311" i="20" s="1"/>
  <c r="AN202" i="20"/>
  <c r="AN311" i="20" s="1"/>
  <c r="AM202" i="20"/>
  <c r="AM311" i="20" s="1"/>
  <c r="AL202" i="20"/>
  <c r="AL311" i="20" s="1"/>
  <c r="AK202" i="20"/>
  <c r="AK311" i="20" s="1"/>
  <c r="AJ202" i="20"/>
  <c r="AJ311" i="20" s="1"/>
  <c r="AH202" i="20"/>
  <c r="AH311" i="20" s="1"/>
  <c r="AG202" i="20"/>
  <c r="AG311" i="20" s="1"/>
  <c r="AF202" i="20"/>
  <c r="AF311" i="20" s="1"/>
  <c r="AE202" i="20"/>
  <c r="AE311" i="20" s="1"/>
  <c r="AC202" i="20"/>
  <c r="AC311" i="20" s="1"/>
  <c r="AB202" i="20"/>
  <c r="AB311" i="20" s="1"/>
  <c r="AA202" i="20"/>
  <c r="AA311" i="20" s="1"/>
  <c r="Z202" i="20"/>
  <c r="Z311" i="20" s="1"/>
  <c r="X202" i="20"/>
  <c r="X311" i="20" s="1"/>
  <c r="W202" i="20"/>
  <c r="W311" i="20" s="1"/>
  <c r="V202" i="20"/>
  <c r="V311" i="20" s="1"/>
  <c r="U202" i="20"/>
  <c r="U311" i="20" s="1"/>
  <c r="S202" i="20"/>
  <c r="S311" i="20" s="1"/>
  <c r="R202" i="20"/>
  <c r="R311" i="20" s="1"/>
  <c r="Q202" i="20"/>
  <c r="Q311" i="20" s="1"/>
  <c r="P202" i="20"/>
  <c r="P311" i="20" s="1"/>
  <c r="N202" i="20"/>
  <c r="N311" i="20" s="1"/>
  <c r="M202" i="20"/>
  <c r="M311" i="20" s="1"/>
  <c r="L202" i="20"/>
  <c r="L311" i="20" s="1"/>
  <c r="K202" i="20"/>
  <c r="K311" i="20" s="1"/>
  <c r="I202" i="20"/>
  <c r="I311" i="20" s="1"/>
  <c r="H202" i="20"/>
  <c r="H311" i="20" s="1"/>
  <c r="G202" i="20"/>
  <c r="G311" i="20" s="1"/>
  <c r="F202" i="20"/>
  <c r="F311" i="20" s="1"/>
  <c r="BP201" i="20"/>
  <c r="BP310" i="20" s="1"/>
  <c r="BO201" i="20"/>
  <c r="BO310" i="20" s="1"/>
  <c r="BN201" i="20"/>
  <c r="BN310" i="20" s="1"/>
  <c r="BM201" i="20"/>
  <c r="BM310" i="20" s="1"/>
  <c r="BK201" i="20"/>
  <c r="BK310" i="20" s="1"/>
  <c r="BJ201" i="20"/>
  <c r="BJ310" i="20" s="1"/>
  <c r="BI201" i="20"/>
  <c r="BI310" i="20" s="1"/>
  <c r="BH201" i="20"/>
  <c r="BH310" i="20" s="1"/>
  <c r="BF201" i="20"/>
  <c r="BF310" i="20" s="1"/>
  <c r="BE201" i="20"/>
  <c r="BE310" i="20" s="1"/>
  <c r="BD201" i="20"/>
  <c r="BD310" i="20" s="1"/>
  <c r="AW201" i="20"/>
  <c r="AW310" i="20" s="1"/>
  <c r="AV201" i="20"/>
  <c r="AV310" i="20" s="1"/>
  <c r="AU201" i="20"/>
  <c r="AU310" i="20" s="1"/>
  <c r="AT201" i="20"/>
  <c r="AT310" i="20" s="1"/>
  <c r="AS201" i="20"/>
  <c r="AS310" i="20" s="1"/>
  <c r="AV200" i="20"/>
  <c r="AU200" i="20"/>
  <c r="AT200" i="20"/>
  <c r="BQ199" i="20"/>
  <c r="BQ207" i="20" s="1"/>
  <c r="BQ315" i="20" s="1"/>
  <c r="BL199" i="20"/>
  <c r="BL207" i="20" s="1"/>
  <c r="BL315" i="20" s="1"/>
  <c r="BG199" i="20"/>
  <c r="BG207" i="20" s="1"/>
  <c r="BG315" i="20" s="1"/>
  <c r="AX199" i="20"/>
  <c r="AX207" i="20" s="1"/>
  <c r="AX315" i="20" s="1"/>
  <c r="I199" i="20"/>
  <c r="E199" i="20" s="1"/>
  <c r="E207" i="20" s="1"/>
  <c r="E315" i="20" s="1"/>
  <c r="BQ198" i="20"/>
  <c r="BL198" i="20"/>
  <c r="BG198" i="20"/>
  <c r="AX198" i="20"/>
  <c r="AI198" i="20"/>
  <c r="AD198" i="20"/>
  <c r="Y198" i="20"/>
  <c r="T198" i="20"/>
  <c r="O198" i="20"/>
  <c r="J198" i="20"/>
  <c r="E198" i="20"/>
  <c r="BC198" i="20" s="1"/>
  <c r="BV198" i="20" s="1"/>
  <c r="BQ197" i="20"/>
  <c r="BL197" i="20"/>
  <c r="BG197" i="20"/>
  <c r="AX197" i="20"/>
  <c r="E197" i="20"/>
  <c r="BC197" i="20" s="1"/>
  <c r="BV197" i="20" s="1"/>
  <c r="BQ196" i="20"/>
  <c r="BL196" i="20"/>
  <c r="BG196" i="20"/>
  <c r="AX196" i="20"/>
  <c r="AI196" i="20"/>
  <c r="AD196" i="20"/>
  <c r="Y196" i="20"/>
  <c r="T196" i="20"/>
  <c r="O196" i="20"/>
  <c r="J196" i="20"/>
  <c r="E196" i="20"/>
  <c r="BQ195" i="20"/>
  <c r="BL195" i="20"/>
  <c r="BG195" i="20"/>
  <c r="AX195" i="20"/>
  <c r="AI195" i="20"/>
  <c r="AD195" i="20"/>
  <c r="Y195" i="20"/>
  <c r="T195" i="20"/>
  <c r="O195" i="20"/>
  <c r="J195" i="20"/>
  <c r="E195" i="20"/>
  <c r="BC195" i="20" s="1"/>
  <c r="BV195" i="20" s="1"/>
  <c r="BQ194" i="20"/>
  <c r="BL194" i="20"/>
  <c r="BG194" i="20"/>
  <c r="AX194" i="20"/>
  <c r="AI194" i="20"/>
  <c r="AD194" i="20"/>
  <c r="Y194" i="20"/>
  <c r="T194" i="20"/>
  <c r="O194" i="20"/>
  <c r="J194" i="20"/>
  <c r="E194" i="20"/>
  <c r="BQ193" i="20"/>
  <c r="BL193" i="20"/>
  <c r="BG193" i="20"/>
  <c r="AX193" i="20"/>
  <c r="AI193" i="20"/>
  <c r="AD193" i="20"/>
  <c r="Y193" i="20"/>
  <c r="T193" i="20"/>
  <c r="O193" i="20"/>
  <c r="J193" i="20"/>
  <c r="E193" i="20"/>
  <c r="BC193" i="20" s="1"/>
  <c r="BV193" i="20" s="1"/>
  <c r="BQ192" i="20"/>
  <c r="BL192" i="20"/>
  <c r="BG192" i="20"/>
  <c r="AX192" i="20"/>
  <c r="AI192" i="20"/>
  <c r="AD192" i="20"/>
  <c r="Y192" i="20"/>
  <c r="T192" i="20"/>
  <c r="O192" i="20"/>
  <c r="J192" i="20"/>
  <c r="E192" i="20"/>
  <c r="BQ191" i="20"/>
  <c r="BL191" i="20"/>
  <c r="BG191" i="20"/>
  <c r="AX191" i="20"/>
  <c r="AI191" i="20"/>
  <c r="AD191" i="20"/>
  <c r="Y191" i="20"/>
  <c r="T191" i="20"/>
  <c r="O191" i="20"/>
  <c r="J191" i="20"/>
  <c r="E191" i="20"/>
  <c r="BC191" i="20" s="1"/>
  <c r="BV191" i="20" s="1"/>
  <c r="BQ190" i="20"/>
  <c r="BL190" i="20"/>
  <c r="BG190" i="20"/>
  <c r="AX190" i="20"/>
  <c r="AI190" i="20"/>
  <c r="AD190" i="20"/>
  <c r="Y190" i="20"/>
  <c r="T190" i="20"/>
  <c r="O190" i="20"/>
  <c r="J190" i="20"/>
  <c r="E190" i="20"/>
  <c r="BQ189" i="20"/>
  <c r="BL189" i="20"/>
  <c r="BG189" i="20"/>
  <c r="AX189" i="20"/>
  <c r="AI189" i="20"/>
  <c r="AD189" i="20"/>
  <c r="Y189" i="20"/>
  <c r="T189" i="20"/>
  <c r="O189" i="20"/>
  <c r="J189" i="20"/>
  <c r="E189" i="20"/>
  <c r="BC189" i="20" s="1"/>
  <c r="BV189" i="20" s="1"/>
  <c r="BQ188" i="20"/>
  <c r="BL188" i="20"/>
  <c r="BG188" i="20"/>
  <c r="AX188" i="20"/>
  <c r="AI188" i="20"/>
  <c r="AD188" i="20"/>
  <c r="Y188" i="20"/>
  <c r="T188" i="20"/>
  <c r="O188" i="20"/>
  <c r="J188" i="20"/>
  <c r="E188" i="20"/>
  <c r="BQ187" i="20"/>
  <c r="BG187" i="20"/>
  <c r="AX187" i="20"/>
  <c r="AI187" i="20"/>
  <c r="AD187" i="20"/>
  <c r="AC187" i="20"/>
  <c r="T187" i="20"/>
  <c r="O187" i="20"/>
  <c r="J187" i="20"/>
  <c r="E187" i="20"/>
  <c r="BQ186" i="20"/>
  <c r="BL186" i="20"/>
  <c r="BG186" i="20"/>
  <c r="AX186" i="20"/>
  <c r="AI186" i="20"/>
  <c r="AD186" i="20"/>
  <c r="Y186" i="20"/>
  <c r="T186" i="20"/>
  <c r="O186" i="20"/>
  <c r="J186" i="20"/>
  <c r="E186" i="20"/>
  <c r="BQ185" i="20"/>
  <c r="BL185" i="20"/>
  <c r="BG185" i="20"/>
  <c r="AX185" i="20"/>
  <c r="AI185" i="20"/>
  <c r="AD185" i="20"/>
  <c r="Y185" i="20"/>
  <c r="T185" i="20"/>
  <c r="O185" i="20"/>
  <c r="J185" i="20"/>
  <c r="E185" i="20"/>
  <c r="BQ184" i="20"/>
  <c r="BL184" i="20"/>
  <c r="BG184" i="20"/>
  <c r="AX184" i="20"/>
  <c r="AI184" i="20"/>
  <c r="AD184" i="20"/>
  <c r="Y184" i="20"/>
  <c r="T184" i="20"/>
  <c r="O184" i="20"/>
  <c r="J184" i="20"/>
  <c r="E184" i="20"/>
  <c r="BC184" i="20" s="1"/>
  <c r="BV184" i="20" s="1"/>
  <c r="BQ183" i="20"/>
  <c r="BL183" i="20"/>
  <c r="BG183" i="20"/>
  <c r="AX183" i="20"/>
  <c r="AI183" i="20"/>
  <c r="AD183" i="20"/>
  <c r="Y183" i="20"/>
  <c r="T183" i="20"/>
  <c r="O183" i="20"/>
  <c r="J183" i="20"/>
  <c r="E183" i="20"/>
  <c r="BQ182" i="20"/>
  <c r="BL182" i="20"/>
  <c r="BG182" i="20"/>
  <c r="AX182" i="20"/>
  <c r="AI182" i="20"/>
  <c r="AD182" i="20"/>
  <c r="Y182" i="20"/>
  <c r="T182" i="20"/>
  <c r="O182" i="20"/>
  <c r="J182" i="20"/>
  <c r="E182" i="20"/>
  <c r="BQ181" i="20"/>
  <c r="BL181" i="20"/>
  <c r="BG181" i="20"/>
  <c r="AX181" i="20"/>
  <c r="AI181" i="20"/>
  <c r="AD181" i="20"/>
  <c r="Y181" i="20"/>
  <c r="T181" i="20"/>
  <c r="T178" i="20" s="1"/>
  <c r="O181" i="20"/>
  <c r="J181" i="20"/>
  <c r="E181" i="20"/>
  <c r="BQ180" i="20"/>
  <c r="BL180" i="20"/>
  <c r="BG180" i="20"/>
  <c r="BG179" i="20" s="1"/>
  <c r="AX180" i="20"/>
  <c r="AI180" i="20"/>
  <c r="AI179" i="20" s="1"/>
  <c r="AD180" i="20"/>
  <c r="Y180" i="20"/>
  <c r="Y179" i="20" s="1"/>
  <c r="T180" i="20"/>
  <c r="O180" i="20"/>
  <c r="J180" i="20"/>
  <c r="E180" i="20"/>
  <c r="BO179" i="20"/>
  <c r="BN179" i="20"/>
  <c r="BM179" i="20"/>
  <c r="BF179" i="20"/>
  <c r="BE179" i="20"/>
  <c r="BD179" i="20"/>
  <c r="BD178" i="20" s="1"/>
  <c r="AH179" i="20"/>
  <c r="AG179" i="20"/>
  <c r="AF179" i="20"/>
  <c r="AE179" i="20"/>
  <c r="AD179" i="20"/>
  <c r="AC179" i="20"/>
  <c r="AB179" i="20"/>
  <c r="AA179" i="20"/>
  <c r="Z179" i="20"/>
  <c r="X179" i="20"/>
  <c r="W179" i="20"/>
  <c r="V179" i="20"/>
  <c r="U179" i="20"/>
  <c r="R179" i="20"/>
  <c r="Q179" i="20"/>
  <c r="P179" i="20"/>
  <c r="O179" i="20" s="1"/>
  <c r="J179" i="20"/>
  <c r="I179" i="20"/>
  <c r="BP179" i="20" s="1"/>
  <c r="BL179" i="20" s="1"/>
  <c r="H179" i="20"/>
  <c r="G179" i="20"/>
  <c r="F179" i="20"/>
  <c r="BU178" i="20"/>
  <c r="BT178" i="20"/>
  <c r="BS178" i="20"/>
  <c r="BR178" i="20"/>
  <c r="BO178" i="20"/>
  <c r="BN178" i="20"/>
  <c r="BM178" i="20"/>
  <c r="BK178" i="20"/>
  <c r="BJ178" i="20"/>
  <c r="BI178" i="20"/>
  <c r="BH178" i="20"/>
  <c r="BF178" i="20"/>
  <c r="BE178" i="20"/>
  <c r="BB178" i="20"/>
  <c r="BA178" i="20"/>
  <c r="AZ178" i="20"/>
  <c r="AY178" i="20"/>
  <c r="AM178" i="20"/>
  <c r="AL178" i="20"/>
  <c r="AK178" i="20"/>
  <c r="AJ178" i="20"/>
  <c r="AH178" i="20"/>
  <c r="AG178" i="20"/>
  <c r="AF178" i="20"/>
  <c r="AE178" i="20"/>
  <c r="AC178" i="20"/>
  <c r="AB178" i="20"/>
  <c r="AA178" i="20"/>
  <c r="Z178" i="20"/>
  <c r="X178" i="20"/>
  <c r="W178" i="20"/>
  <c r="V178" i="20"/>
  <c r="U178" i="20"/>
  <c r="S178" i="20"/>
  <c r="R178" i="20"/>
  <c r="Q178" i="20"/>
  <c r="P178" i="20"/>
  <c r="N178" i="20"/>
  <c r="M178" i="20"/>
  <c r="L178" i="20"/>
  <c r="K178" i="20"/>
  <c r="I178" i="20"/>
  <c r="H178" i="20"/>
  <c r="G178" i="20"/>
  <c r="F178" i="20"/>
  <c r="BQ177" i="20"/>
  <c r="BL177" i="20"/>
  <c r="BG177" i="20"/>
  <c r="AX177" i="20"/>
  <c r="AI177" i="20"/>
  <c r="AD177" i="20"/>
  <c r="Y177" i="20"/>
  <c r="T177" i="20"/>
  <c r="O177" i="20"/>
  <c r="J177" i="20"/>
  <c r="E177" i="20"/>
  <c r="BQ176" i="20"/>
  <c r="BL176" i="20"/>
  <c r="BG176" i="20"/>
  <c r="AX176" i="20"/>
  <c r="AI176" i="20"/>
  <c r="AD176" i="20"/>
  <c r="Y176" i="20"/>
  <c r="T176" i="20"/>
  <c r="O176" i="20"/>
  <c r="J176" i="20"/>
  <c r="E176" i="20"/>
  <c r="BQ175" i="20"/>
  <c r="BL175" i="20"/>
  <c r="BG175" i="20"/>
  <c r="AX175" i="20"/>
  <c r="AI175" i="20"/>
  <c r="AD175" i="20"/>
  <c r="Y175" i="20"/>
  <c r="T175" i="20"/>
  <c r="O175" i="20"/>
  <c r="J175" i="20"/>
  <c r="E175" i="20"/>
  <c r="BQ174" i="20"/>
  <c r="BL174" i="20"/>
  <c r="BG174" i="20"/>
  <c r="AX174" i="20"/>
  <c r="AI174" i="20"/>
  <c r="AD174" i="20"/>
  <c r="Y174" i="20"/>
  <c r="T174" i="20"/>
  <c r="O174" i="20"/>
  <c r="J174" i="20"/>
  <c r="E174" i="20"/>
  <c r="BC174" i="20" s="1"/>
  <c r="BV174" i="20" s="1"/>
  <c r="BQ173" i="20"/>
  <c r="BL173" i="20"/>
  <c r="BG173" i="20"/>
  <c r="AX173" i="20"/>
  <c r="AI173" i="20"/>
  <c r="AD173" i="20"/>
  <c r="Y173" i="20"/>
  <c r="T173" i="20"/>
  <c r="O173" i="20"/>
  <c r="J173" i="20"/>
  <c r="E173" i="20"/>
  <c r="BQ172" i="20"/>
  <c r="BL172" i="20"/>
  <c r="BG172" i="20"/>
  <c r="AX172" i="20"/>
  <c r="AI172" i="20"/>
  <c r="AD172" i="20"/>
  <c r="Y172" i="20"/>
  <c r="T172" i="20"/>
  <c r="O172" i="20"/>
  <c r="J172" i="20"/>
  <c r="E172" i="20"/>
  <c r="BQ171" i="20"/>
  <c r="BL171" i="20"/>
  <c r="BG171" i="20"/>
  <c r="AX171" i="20"/>
  <c r="AI171" i="20"/>
  <c r="AD171" i="20"/>
  <c r="Y171" i="20"/>
  <c r="T171" i="20"/>
  <c r="O171" i="20"/>
  <c r="J171" i="20"/>
  <c r="E171" i="20"/>
  <c r="BQ170" i="20"/>
  <c r="BL170" i="20"/>
  <c r="BG170" i="20"/>
  <c r="AX170" i="20"/>
  <c r="AI170" i="20"/>
  <c r="AD170" i="20"/>
  <c r="Y170" i="20"/>
  <c r="T170" i="20"/>
  <c r="O170" i="20"/>
  <c r="J170" i="20"/>
  <c r="E170" i="20"/>
  <c r="BC170" i="20" s="1"/>
  <c r="BV170" i="20" s="1"/>
  <c r="BQ169" i="20"/>
  <c r="BL169" i="20"/>
  <c r="BG169" i="20"/>
  <c r="AX169" i="20"/>
  <c r="AI169" i="20"/>
  <c r="AD169" i="20"/>
  <c r="Y169" i="20"/>
  <c r="T169" i="20"/>
  <c r="O169" i="20"/>
  <c r="J169" i="20"/>
  <c r="E169" i="20"/>
  <c r="BQ168" i="20"/>
  <c r="BL168" i="20"/>
  <c r="BG168" i="20"/>
  <c r="AX168" i="20"/>
  <c r="AI168" i="20"/>
  <c r="AD168" i="20"/>
  <c r="Y168" i="20"/>
  <c r="T168" i="20"/>
  <c r="O168" i="20"/>
  <c r="J168" i="20"/>
  <c r="E168" i="20"/>
  <c r="BQ167" i="20"/>
  <c r="BL167" i="20"/>
  <c r="BG167" i="20"/>
  <c r="AX167" i="20"/>
  <c r="AI167" i="20"/>
  <c r="AD167" i="20"/>
  <c r="Y167" i="20"/>
  <c r="T167" i="20"/>
  <c r="O167" i="20"/>
  <c r="J167" i="20"/>
  <c r="E167" i="20"/>
  <c r="BQ166" i="20"/>
  <c r="BL166" i="20"/>
  <c r="BG166" i="20"/>
  <c r="AX166" i="20"/>
  <c r="AI166" i="20"/>
  <c r="AD166" i="20"/>
  <c r="Y166" i="20"/>
  <c r="T166" i="20"/>
  <c r="O166" i="20"/>
  <c r="J166" i="20"/>
  <c r="E166" i="20"/>
  <c r="BC166" i="20" s="1"/>
  <c r="BV166" i="20" s="1"/>
  <c r="BQ165" i="20"/>
  <c r="BL165" i="20"/>
  <c r="BG165" i="20"/>
  <c r="AX165" i="20"/>
  <c r="AI165" i="20"/>
  <c r="AD165" i="20"/>
  <c r="Y165" i="20"/>
  <c r="T165" i="20"/>
  <c r="O165" i="20"/>
  <c r="J165" i="20"/>
  <c r="E165" i="20"/>
  <c r="BQ164" i="20"/>
  <c r="BL164" i="20"/>
  <c r="BG164" i="20"/>
  <c r="AX164" i="20"/>
  <c r="AI164" i="20"/>
  <c r="AD164" i="20"/>
  <c r="Y164" i="20"/>
  <c r="T164" i="20"/>
  <c r="O164" i="20"/>
  <c r="J164" i="20"/>
  <c r="E164" i="20"/>
  <c r="BQ163" i="20"/>
  <c r="BL163" i="20"/>
  <c r="BG163" i="20"/>
  <c r="AX163" i="20"/>
  <c r="AI163" i="20"/>
  <c r="AD163" i="20"/>
  <c r="Y163" i="20"/>
  <c r="T163" i="20"/>
  <c r="O163" i="20"/>
  <c r="J163" i="20"/>
  <c r="E163" i="20"/>
  <c r="BQ162" i="20"/>
  <c r="BL162" i="20"/>
  <c r="BG162" i="20"/>
  <c r="AX162" i="20"/>
  <c r="AI162" i="20"/>
  <c r="AD162" i="20"/>
  <c r="Y162" i="20"/>
  <c r="T162" i="20"/>
  <c r="O162" i="20"/>
  <c r="J162" i="20"/>
  <c r="E162" i="20"/>
  <c r="BC162" i="20" s="1"/>
  <c r="BV162" i="20" s="1"/>
  <c r="BQ161" i="20"/>
  <c r="BL161" i="20"/>
  <c r="BG161" i="20"/>
  <c r="AX161" i="20"/>
  <c r="AI161" i="20"/>
  <c r="AD161" i="20"/>
  <c r="Y161" i="20"/>
  <c r="T161" i="20"/>
  <c r="O161" i="20"/>
  <c r="J161" i="20"/>
  <c r="E161" i="20"/>
  <c r="BQ160" i="20"/>
  <c r="BL160" i="20"/>
  <c r="BG160" i="20"/>
  <c r="AX160" i="20"/>
  <c r="AI160" i="20"/>
  <c r="AD160" i="20"/>
  <c r="Y160" i="20"/>
  <c r="T160" i="20"/>
  <c r="O160" i="20"/>
  <c r="J160" i="20"/>
  <c r="E160" i="20"/>
  <c r="BQ159" i="20"/>
  <c r="BL159" i="20"/>
  <c r="BG159" i="20"/>
  <c r="AX159" i="20"/>
  <c r="AX158" i="20" s="1"/>
  <c r="AI159" i="20"/>
  <c r="AD159" i="20"/>
  <c r="Y159" i="20"/>
  <c r="T159" i="20"/>
  <c r="O159" i="20"/>
  <c r="J159" i="20"/>
  <c r="E159" i="20"/>
  <c r="BQ158" i="20"/>
  <c r="BO158" i="20"/>
  <c r="BN158" i="20"/>
  <c r="BM158" i="20"/>
  <c r="BF158" i="20"/>
  <c r="BE158" i="20"/>
  <c r="BD158" i="20"/>
  <c r="AH158" i="20"/>
  <c r="AG158" i="20"/>
  <c r="AF158" i="20"/>
  <c r="AE158" i="20"/>
  <c r="AC158" i="20"/>
  <c r="AB158" i="20"/>
  <c r="AA158" i="20"/>
  <c r="Z158" i="20"/>
  <c r="Y158" i="20"/>
  <c r="X158" i="20"/>
  <c r="W158" i="20"/>
  <c r="V158" i="20"/>
  <c r="U158" i="20"/>
  <c r="T158" i="20" s="1"/>
  <c r="S158" i="20"/>
  <c r="R158" i="20"/>
  <c r="Q158" i="20"/>
  <c r="P158" i="20"/>
  <c r="J158" i="20"/>
  <c r="I158" i="20"/>
  <c r="H158" i="20"/>
  <c r="G158" i="20"/>
  <c r="F158" i="20"/>
  <c r="E158" i="20"/>
  <c r="BU157" i="20"/>
  <c r="BT157" i="20"/>
  <c r="BS157" i="20"/>
  <c r="BR157" i="20"/>
  <c r="BQ157" i="20"/>
  <c r="BP157" i="20"/>
  <c r="BO157" i="20"/>
  <c r="BN157" i="20"/>
  <c r="BM157" i="20"/>
  <c r="BK157" i="20"/>
  <c r="BJ157" i="20"/>
  <c r="BI157" i="20"/>
  <c r="BH157" i="20"/>
  <c r="BF157" i="20"/>
  <c r="BE157" i="20"/>
  <c r="BD157" i="20"/>
  <c r="BB157" i="20"/>
  <c r="BA157" i="20"/>
  <c r="AZ157" i="20"/>
  <c r="AY157" i="20"/>
  <c r="AX157" i="20"/>
  <c r="AM157" i="20"/>
  <c r="AL157" i="20"/>
  <c r="AK157" i="20"/>
  <c r="AJ157" i="20"/>
  <c r="AH157" i="20"/>
  <c r="AG157" i="20"/>
  <c r="AF157" i="20"/>
  <c r="AE157" i="20"/>
  <c r="AC157" i="20"/>
  <c r="AB157" i="20"/>
  <c r="AA157" i="20"/>
  <c r="Z157" i="20"/>
  <c r="X157" i="20"/>
  <c r="W157" i="20"/>
  <c r="V157" i="20"/>
  <c r="U157" i="20"/>
  <c r="T157" i="20"/>
  <c r="S157" i="20"/>
  <c r="R157" i="20"/>
  <c r="Q157" i="20"/>
  <c r="P157" i="20"/>
  <c r="O157" i="20"/>
  <c r="N157" i="20"/>
  <c r="M157" i="20"/>
  <c r="L157" i="20"/>
  <c r="K157" i="20"/>
  <c r="I157" i="20"/>
  <c r="H157" i="20"/>
  <c r="G157" i="20"/>
  <c r="F157" i="20"/>
  <c r="BQ156" i="20"/>
  <c r="BL156" i="20"/>
  <c r="BG156" i="20"/>
  <c r="AX156" i="20"/>
  <c r="E156" i="20"/>
  <c r="BC156" i="20" s="1"/>
  <c r="BV156" i="20" s="1"/>
  <c r="BQ155" i="20"/>
  <c r="BL155" i="20"/>
  <c r="BG155" i="20"/>
  <c r="AX155" i="20"/>
  <c r="E155" i="20"/>
  <c r="BQ154" i="20"/>
  <c r="BL154" i="20"/>
  <c r="BG154" i="20"/>
  <c r="AX154" i="20"/>
  <c r="E154" i="20"/>
  <c r="BC154" i="20" s="1"/>
  <c r="BV154" i="20" s="1"/>
  <c r="BQ153" i="20"/>
  <c r="BL153" i="20"/>
  <c r="BG153" i="20"/>
  <c r="AX153" i="20"/>
  <c r="AI153" i="20"/>
  <c r="AD153" i="20"/>
  <c r="Y153" i="20"/>
  <c r="T153" i="20"/>
  <c r="O153" i="20"/>
  <c r="J153" i="20"/>
  <c r="E153" i="20"/>
  <c r="BQ152" i="20"/>
  <c r="BL152" i="20"/>
  <c r="BG152" i="20"/>
  <c r="AX152" i="20"/>
  <c r="AI152" i="20"/>
  <c r="AD152" i="20"/>
  <c r="Y152" i="20"/>
  <c r="T152" i="20"/>
  <c r="O152" i="20"/>
  <c r="J152" i="20"/>
  <c r="E152" i="20"/>
  <c r="BQ151" i="20"/>
  <c r="BL151" i="20"/>
  <c r="BG151" i="20"/>
  <c r="AX151" i="20"/>
  <c r="AI151" i="20"/>
  <c r="AD151" i="20"/>
  <c r="Y151" i="20"/>
  <c r="T151" i="20"/>
  <c r="O151" i="20"/>
  <c r="J151" i="20"/>
  <c r="E151" i="20"/>
  <c r="BQ150" i="20"/>
  <c r="BL150" i="20"/>
  <c r="BG150" i="20"/>
  <c r="AX150" i="20"/>
  <c r="AI150" i="20"/>
  <c r="AD150" i="20"/>
  <c r="Y150" i="20"/>
  <c r="T150" i="20"/>
  <c r="O150" i="20"/>
  <c r="J150" i="20"/>
  <c r="E150" i="20"/>
  <c r="BC150" i="20" s="1"/>
  <c r="BV150" i="20" s="1"/>
  <c r="BQ149" i="20"/>
  <c r="BL149" i="20"/>
  <c r="BG149" i="20"/>
  <c r="AX149" i="20"/>
  <c r="AI149" i="20"/>
  <c r="AD149" i="20"/>
  <c r="Y149" i="20"/>
  <c r="T149" i="20"/>
  <c r="O149" i="20"/>
  <c r="J149" i="20"/>
  <c r="BC149" i="20" s="1"/>
  <c r="BV149" i="20" s="1"/>
  <c r="BQ148" i="20"/>
  <c r="BL148" i="20"/>
  <c r="BG148" i="20"/>
  <c r="AX148" i="20"/>
  <c r="AI148" i="20"/>
  <c r="AD148" i="20"/>
  <c r="Y148" i="20"/>
  <c r="T148" i="20"/>
  <c r="O148" i="20"/>
  <c r="J148" i="20"/>
  <c r="E148" i="20"/>
  <c r="BQ147" i="20"/>
  <c r="BL147" i="20"/>
  <c r="BG147" i="20"/>
  <c r="AX147" i="20"/>
  <c r="AI147" i="20"/>
  <c r="AD147" i="20"/>
  <c r="Y147" i="20"/>
  <c r="T147" i="20"/>
  <c r="O147" i="20"/>
  <c r="J147" i="20"/>
  <c r="E147" i="20"/>
  <c r="BQ146" i="20"/>
  <c r="BL146" i="20"/>
  <c r="BG146" i="20"/>
  <c r="AX146" i="20"/>
  <c r="AI146" i="20"/>
  <c r="AD146" i="20"/>
  <c r="Y146" i="20"/>
  <c r="T146" i="20"/>
  <c r="O146" i="20"/>
  <c r="J146" i="20"/>
  <c r="E146" i="20"/>
  <c r="BQ145" i="20"/>
  <c r="BL145" i="20"/>
  <c r="BG145" i="20"/>
  <c r="AX145" i="20"/>
  <c r="AI145" i="20"/>
  <c r="AD145" i="20"/>
  <c r="Y145" i="20"/>
  <c r="T145" i="20"/>
  <c r="O145" i="20"/>
  <c r="J145" i="20"/>
  <c r="E145" i="20"/>
  <c r="BC145" i="20" s="1"/>
  <c r="BV145" i="20" s="1"/>
  <c r="BQ144" i="20"/>
  <c r="BL144" i="20"/>
  <c r="BG144" i="20"/>
  <c r="AX144" i="20"/>
  <c r="AI144" i="20"/>
  <c r="AD144" i="20"/>
  <c r="Y144" i="20"/>
  <c r="T144" i="20"/>
  <c r="O144" i="20"/>
  <c r="J144" i="20"/>
  <c r="E144" i="20"/>
  <c r="BQ143" i="20"/>
  <c r="BL143" i="20"/>
  <c r="BG143" i="20"/>
  <c r="AX143" i="20"/>
  <c r="AI143" i="20"/>
  <c r="AD143" i="20"/>
  <c r="Y143" i="20"/>
  <c r="T143" i="20"/>
  <c r="O143" i="20"/>
  <c r="J143" i="20"/>
  <c r="E143" i="20"/>
  <c r="BQ142" i="20"/>
  <c r="BL142" i="20"/>
  <c r="BG142" i="20"/>
  <c r="AX142" i="20"/>
  <c r="AI142" i="20"/>
  <c r="AD142" i="20"/>
  <c r="Y142" i="20"/>
  <c r="T142" i="20"/>
  <c r="O142" i="20"/>
  <c r="J142" i="20"/>
  <c r="E142" i="20"/>
  <c r="BQ141" i="20"/>
  <c r="BL141" i="20"/>
  <c r="BG141" i="20"/>
  <c r="AX141" i="20"/>
  <c r="AI141" i="20"/>
  <c r="AD141" i="20"/>
  <c r="Y141" i="20"/>
  <c r="T141" i="20"/>
  <c r="O141" i="20"/>
  <c r="J141" i="20"/>
  <c r="E141" i="20"/>
  <c r="BC141" i="20" s="1"/>
  <c r="BV141" i="20" s="1"/>
  <c r="BQ140" i="20"/>
  <c r="BL140" i="20"/>
  <c r="BG140" i="20"/>
  <c r="AX140" i="20"/>
  <c r="AI140" i="20"/>
  <c r="AD140" i="20"/>
  <c r="AC140" i="20"/>
  <c r="BP140" i="20" s="1"/>
  <c r="BP132" i="20" s="1"/>
  <c r="T140" i="20"/>
  <c r="O140" i="20"/>
  <c r="J140" i="20"/>
  <c r="E140" i="20"/>
  <c r="BQ139" i="20"/>
  <c r="BL139" i="20"/>
  <c r="BG139" i="20"/>
  <c r="AX139" i="20"/>
  <c r="AI139" i="20"/>
  <c r="AD139" i="20"/>
  <c r="Y139" i="20"/>
  <c r="T139" i="20"/>
  <c r="O139" i="20"/>
  <c r="J139" i="20"/>
  <c r="E139" i="20"/>
  <c r="BQ138" i="20"/>
  <c r="BL138" i="20"/>
  <c r="BG138" i="20"/>
  <c r="AX138" i="20"/>
  <c r="AI138" i="20"/>
  <c r="AD138" i="20"/>
  <c r="Y138" i="20"/>
  <c r="T138" i="20"/>
  <c r="O138" i="20"/>
  <c r="J138" i="20"/>
  <c r="E138" i="20"/>
  <c r="BQ137" i="20"/>
  <c r="BL137" i="20"/>
  <c r="BG137" i="20"/>
  <c r="AX137" i="20"/>
  <c r="AI137" i="20"/>
  <c r="AD137" i="20"/>
  <c r="Y137" i="20"/>
  <c r="T137" i="20"/>
  <c r="O137" i="20"/>
  <c r="J137" i="20"/>
  <c r="E137" i="20"/>
  <c r="BQ136" i="20"/>
  <c r="BL136" i="20"/>
  <c r="BG136" i="20"/>
  <c r="AX136" i="20"/>
  <c r="AI136" i="20"/>
  <c r="AD136" i="20"/>
  <c r="Y136" i="20"/>
  <c r="T136" i="20"/>
  <c r="O136" i="20"/>
  <c r="J136" i="20"/>
  <c r="E136" i="20"/>
  <c r="BQ135" i="20"/>
  <c r="BL135" i="20"/>
  <c r="BG135" i="20"/>
  <c r="AX135" i="20"/>
  <c r="AI135" i="20"/>
  <c r="AD135" i="20"/>
  <c r="Y135" i="20"/>
  <c r="T135" i="20"/>
  <c r="O135" i="20"/>
  <c r="J135" i="20"/>
  <c r="E135" i="20"/>
  <c r="BC135" i="20" s="1"/>
  <c r="BQ134" i="20"/>
  <c r="BL134" i="20"/>
  <c r="BG134" i="20"/>
  <c r="AX134" i="20"/>
  <c r="AI134" i="20"/>
  <c r="AD134" i="20"/>
  <c r="Y134" i="20"/>
  <c r="T134" i="20"/>
  <c r="O134" i="20"/>
  <c r="J134" i="20"/>
  <c r="E134" i="20"/>
  <c r="BQ133" i="20"/>
  <c r="BL133" i="20"/>
  <c r="BG133" i="20"/>
  <c r="AX133" i="20"/>
  <c r="AI133" i="20"/>
  <c r="AD133" i="20"/>
  <c r="AC133" i="20"/>
  <c r="Y133" i="20" s="1"/>
  <c r="T133" i="20"/>
  <c r="O133" i="20"/>
  <c r="J133" i="20"/>
  <c r="E133" i="20"/>
  <c r="BU132" i="20"/>
  <c r="BT132" i="20"/>
  <c r="BS132" i="20"/>
  <c r="BR132" i="20"/>
  <c r="BO132" i="20"/>
  <c r="BN132" i="20"/>
  <c r="BM132" i="20"/>
  <c r="BK132" i="20"/>
  <c r="BJ132" i="20"/>
  <c r="BI132" i="20"/>
  <c r="BH132" i="20"/>
  <c r="BF132" i="20"/>
  <c r="BE132" i="20"/>
  <c r="BD132" i="20"/>
  <c r="BB132" i="20"/>
  <c r="BA132" i="20"/>
  <c r="AZ132" i="20"/>
  <c r="AY132" i="20"/>
  <c r="AR132" i="20"/>
  <c r="AQ132" i="20"/>
  <c r="AP132" i="20"/>
  <c r="AO132" i="20"/>
  <c r="AN132" i="20"/>
  <c r="AM132" i="20"/>
  <c r="AL132" i="20"/>
  <c r="AK132" i="20"/>
  <c r="AJ132" i="20"/>
  <c r="AH132" i="20"/>
  <c r="AG132" i="20"/>
  <c r="AF132" i="20"/>
  <c r="AE132" i="20"/>
  <c r="AC132" i="20"/>
  <c r="AB132" i="20"/>
  <c r="AA132" i="20"/>
  <c r="Z132" i="20"/>
  <c r="X132" i="20"/>
  <c r="W132" i="20"/>
  <c r="V132" i="20"/>
  <c r="U132" i="20"/>
  <c r="S132" i="20"/>
  <c r="R132" i="20"/>
  <c r="Q132" i="20"/>
  <c r="P132" i="20"/>
  <c r="N132" i="20"/>
  <c r="M132" i="20"/>
  <c r="L132" i="20"/>
  <c r="K132" i="20"/>
  <c r="I132" i="20"/>
  <c r="H132" i="20"/>
  <c r="G132" i="20"/>
  <c r="F132" i="20"/>
  <c r="E132" i="20"/>
  <c r="BQ131" i="20"/>
  <c r="BL131" i="20"/>
  <c r="BG131" i="20"/>
  <c r="AX131" i="20"/>
  <c r="E131" i="20"/>
  <c r="BC131" i="20" s="1"/>
  <c r="BV131" i="20" s="1"/>
  <c r="BQ130" i="20"/>
  <c r="BL130" i="20"/>
  <c r="BG130" i="20"/>
  <c r="AX130" i="20"/>
  <c r="AI130" i="20"/>
  <c r="AD130" i="20"/>
  <c r="Y130" i="20"/>
  <c r="T130" i="20"/>
  <c r="O130" i="20"/>
  <c r="J130" i="20"/>
  <c r="E130" i="20"/>
  <c r="BQ129" i="20"/>
  <c r="BL129" i="20"/>
  <c r="BG129" i="20"/>
  <c r="AX129" i="20"/>
  <c r="AI129" i="20"/>
  <c r="AD129" i="20"/>
  <c r="Y129" i="20"/>
  <c r="T129" i="20"/>
  <c r="O129" i="20"/>
  <c r="J129" i="20"/>
  <c r="E129" i="20"/>
  <c r="BC129" i="20" s="1"/>
  <c r="BV129" i="20" s="1"/>
  <c r="BQ128" i="20"/>
  <c r="BL128" i="20"/>
  <c r="BG128" i="20"/>
  <c r="AX128" i="20"/>
  <c r="AI128" i="20"/>
  <c r="AD128" i="20"/>
  <c r="Y128" i="20"/>
  <c r="T128" i="20"/>
  <c r="O128" i="20"/>
  <c r="J128" i="20"/>
  <c r="E128" i="20"/>
  <c r="BQ127" i="20"/>
  <c r="BL127" i="20"/>
  <c r="BG127" i="20"/>
  <c r="AX127" i="20"/>
  <c r="AI127" i="20"/>
  <c r="AD127" i="20"/>
  <c r="Y127" i="20"/>
  <c r="T127" i="20"/>
  <c r="O127" i="20"/>
  <c r="J127" i="20"/>
  <c r="E127" i="20"/>
  <c r="BQ126" i="20"/>
  <c r="BL126" i="20"/>
  <c r="BG126" i="20"/>
  <c r="AX126" i="20"/>
  <c r="AI126" i="20"/>
  <c r="AD126" i="20"/>
  <c r="Y126" i="20"/>
  <c r="T126" i="20"/>
  <c r="O126" i="20"/>
  <c r="J126" i="20"/>
  <c r="BQ125" i="20"/>
  <c r="BL125" i="20"/>
  <c r="BG125" i="20"/>
  <c r="AX125" i="20"/>
  <c r="AI125" i="20"/>
  <c r="AD125" i="20"/>
  <c r="Y125" i="20"/>
  <c r="T125" i="20"/>
  <c r="O125" i="20"/>
  <c r="J125" i="20"/>
  <c r="E125" i="20"/>
  <c r="BQ124" i="20"/>
  <c r="BL124" i="20"/>
  <c r="BG124" i="20"/>
  <c r="AX124" i="20"/>
  <c r="AI124" i="20"/>
  <c r="AD124" i="20"/>
  <c r="Y124" i="20"/>
  <c r="T124" i="20"/>
  <c r="O124" i="20"/>
  <c r="J124" i="20"/>
  <c r="E124" i="20"/>
  <c r="BC124" i="20" s="1"/>
  <c r="BV124" i="20" s="1"/>
  <c r="BQ123" i="20"/>
  <c r="BL123" i="20"/>
  <c r="BG123" i="20"/>
  <c r="AX123" i="20"/>
  <c r="AI123" i="20"/>
  <c r="AD123" i="20"/>
  <c r="Y123" i="20"/>
  <c r="T123" i="20"/>
  <c r="O123" i="20"/>
  <c r="J123" i="20"/>
  <c r="E123" i="20"/>
  <c r="BQ122" i="20"/>
  <c r="BL122" i="20"/>
  <c r="BG122" i="20"/>
  <c r="AX122" i="20"/>
  <c r="AI122" i="20"/>
  <c r="AD122" i="20"/>
  <c r="Y122" i="20"/>
  <c r="T122" i="20"/>
  <c r="O122" i="20"/>
  <c r="J122" i="20"/>
  <c r="E122" i="20"/>
  <c r="BQ121" i="20"/>
  <c r="BL121" i="20"/>
  <c r="BG121" i="20"/>
  <c r="AX121" i="20"/>
  <c r="AI121" i="20"/>
  <c r="AD121" i="20"/>
  <c r="Y121" i="20"/>
  <c r="T121" i="20"/>
  <c r="O121" i="20"/>
  <c r="J121" i="20"/>
  <c r="E121" i="20"/>
  <c r="BQ120" i="20"/>
  <c r="BL120" i="20"/>
  <c r="BG120" i="20"/>
  <c r="AX120" i="20"/>
  <c r="AI120" i="20"/>
  <c r="AD120" i="20"/>
  <c r="Y120" i="20"/>
  <c r="T120" i="20"/>
  <c r="O120" i="20"/>
  <c r="J120" i="20"/>
  <c r="E120" i="20"/>
  <c r="BC120" i="20" s="1"/>
  <c r="BV120" i="20" s="1"/>
  <c r="BQ119" i="20"/>
  <c r="BL119" i="20"/>
  <c r="BG119" i="20"/>
  <c r="AX119" i="20"/>
  <c r="AI119" i="20"/>
  <c r="AD119" i="20"/>
  <c r="Y119" i="20"/>
  <c r="T119" i="20"/>
  <c r="O119" i="20"/>
  <c r="J119" i="20"/>
  <c r="E119" i="20"/>
  <c r="BQ118" i="20"/>
  <c r="BL118" i="20"/>
  <c r="BG118" i="20"/>
  <c r="AX118" i="20"/>
  <c r="AI118" i="20"/>
  <c r="AD118" i="20"/>
  <c r="Y118" i="20"/>
  <c r="T118" i="20"/>
  <c r="O118" i="20"/>
  <c r="J118" i="20"/>
  <c r="E118" i="20"/>
  <c r="BQ117" i="20"/>
  <c r="BL117" i="20"/>
  <c r="BG117" i="20"/>
  <c r="AX117" i="20"/>
  <c r="AI117" i="20"/>
  <c r="AD117" i="20"/>
  <c r="Y117" i="20"/>
  <c r="T117" i="20"/>
  <c r="O117" i="20"/>
  <c r="J117" i="20"/>
  <c r="E117" i="20"/>
  <c r="BQ116" i="20"/>
  <c r="BL116" i="20"/>
  <c r="BG116" i="20"/>
  <c r="AX116" i="20"/>
  <c r="AI116" i="20"/>
  <c r="AD116" i="20"/>
  <c r="Y116" i="20"/>
  <c r="T116" i="20"/>
  <c r="O116" i="20"/>
  <c r="J116" i="20"/>
  <c r="E116" i="20"/>
  <c r="BC116" i="20" s="1"/>
  <c r="BV116" i="20" s="1"/>
  <c r="BQ115" i="20"/>
  <c r="BL115" i="20"/>
  <c r="BG115" i="20"/>
  <c r="AX115" i="20"/>
  <c r="AI115" i="20"/>
  <c r="AD115" i="20"/>
  <c r="Y115" i="20"/>
  <c r="T115" i="20"/>
  <c r="O115" i="20"/>
  <c r="J115" i="20"/>
  <c r="E115" i="20"/>
  <c r="BQ114" i="20"/>
  <c r="BL114" i="20"/>
  <c r="BG114" i="20"/>
  <c r="AX114" i="20"/>
  <c r="AI114" i="20"/>
  <c r="AD114" i="20"/>
  <c r="Y114" i="20"/>
  <c r="T114" i="20"/>
  <c r="O114" i="20"/>
  <c r="J114" i="20"/>
  <c r="E114" i="20"/>
  <c r="BQ113" i="20"/>
  <c r="BL113" i="20"/>
  <c r="BG113" i="20"/>
  <c r="AX113" i="20"/>
  <c r="AI113" i="20"/>
  <c r="AD113" i="20"/>
  <c r="Y113" i="20"/>
  <c r="T113" i="20"/>
  <c r="O113" i="20"/>
  <c r="J113" i="20"/>
  <c r="E113" i="20"/>
  <c r="BQ112" i="20"/>
  <c r="BL112" i="20"/>
  <c r="BG112" i="20"/>
  <c r="AX112" i="20"/>
  <c r="AI112" i="20"/>
  <c r="AD112" i="20"/>
  <c r="Y112" i="20"/>
  <c r="T112" i="20"/>
  <c r="O112" i="20"/>
  <c r="J112" i="20"/>
  <c r="E112" i="20"/>
  <c r="BC112" i="20" s="1"/>
  <c r="BV112" i="20" s="1"/>
  <c r="BQ111" i="20"/>
  <c r="BL111" i="20"/>
  <c r="BG111" i="20"/>
  <c r="AX111" i="20"/>
  <c r="AI111" i="20"/>
  <c r="AD111" i="20"/>
  <c r="Y111" i="20"/>
  <c r="T111" i="20"/>
  <c r="O111" i="20"/>
  <c r="J111" i="20"/>
  <c r="E111" i="20"/>
  <c r="BQ110" i="20"/>
  <c r="BL110" i="20"/>
  <c r="BG110" i="20"/>
  <c r="AX110" i="20"/>
  <c r="AI110" i="20"/>
  <c r="AD110" i="20"/>
  <c r="Y110" i="20"/>
  <c r="T110" i="20"/>
  <c r="O110" i="20"/>
  <c r="O108" i="20" s="1"/>
  <c r="J110" i="20"/>
  <c r="E110" i="20"/>
  <c r="BQ109" i="20"/>
  <c r="BL109" i="20"/>
  <c r="BG109" i="20"/>
  <c r="AX109" i="20"/>
  <c r="AI109" i="20"/>
  <c r="AD109" i="20"/>
  <c r="AC109" i="20"/>
  <c r="AC108" i="20" s="1"/>
  <c r="T109" i="20"/>
  <c r="O109" i="20"/>
  <c r="J109" i="20"/>
  <c r="E109" i="20"/>
  <c r="BU108" i="20"/>
  <c r="BT108" i="20"/>
  <c r="BS108" i="20"/>
  <c r="BR108" i="20"/>
  <c r="BP108" i="20"/>
  <c r="BO108" i="20"/>
  <c r="BN108" i="20"/>
  <c r="BM108" i="20"/>
  <c r="BK108" i="20"/>
  <c r="BJ108" i="20"/>
  <c r="BI108" i="20"/>
  <c r="BH108" i="20"/>
  <c r="BF108" i="20"/>
  <c r="BE108" i="20"/>
  <c r="BD108" i="20"/>
  <c r="BB108" i="20"/>
  <c r="BA108" i="20"/>
  <c r="AZ108" i="20"/>
  <c r="AY108" i="20"/>
  <c r="AR108" i="20"/>
  <c r="AQ108" i="20"/>
  <c r="AP108" i="20"/>
  <c r="AO108" i="20"/>
  <c r="AN108" i="20"/>
  <c r="AM108" i="20"/>
  <c r="AL108" i="20"/>
  <c r="AK108" i="20"/>
  <c r="AJ108" i="20"/>
  <c r="AI108" i="20"/>
  <c r="AH108" i="20"/>
  <c r="AG108" i="20"/>
  <c r="AF108" i="20"/>
  <c r="AE108" i="20"/>
  <c r="AB108" i="20"/>
  <c r="AA108" i="20"/>
  <c r="Z108" i="20"/>
  <c r="X108" i="20"/>
  <c r="W108" i="20"/>
  <c r="V108" i="20"/>
  <c r="U108" i="20"/>
  <c r="S108" i="20"/>
  <c r="R108" i="20"/>
  <c r="Q108" i="20"/>
  <c r="P108" i="20"/>
  <c r="N108" i="20"/>
  <c r="M108" i="20"/>
  <c r="L108" i="20"/>
  <c r="K108" i="20"/>
  <c r="I108" i="20"/>
  <c r="H108" i="20"/>
  <c r="G108" i="20"/>
  <c r="F108" i="20"/>
  <c r="BQ107" i="20"/>
  <c r="BL107" i="20"/>
  <c r="BG107" i="20"/>
  <c r="AX107" i="20"/>
  <c r="E107" i="20"/>
  <c r="BC107" i="20" s="1"/>
  <c r="BV107" i="20" s="1"/>
  <c r="BQ106" i="20"/>
  <c r="BL106" i="20"/>
  <c r="BG106" i="20"/>
  <c r="AX106" i="20"/>
  <c r="E106" i="20"/>
  <c r="BQ105" i="20"/>
  <c r="BL105" i="20"/>
  <c r="BG105" i="20"/>
  <c r="AX105" i="20"/>
  <c r="AI105" i="20"/>
  <c r="AD105" i="20"/>
  <c r="Y105" i="20"/>
  <c r="T105" i="20"/>
  <c r="O105" i="20"/>
  <c r="J105" i="20"/>
  <c r="E105" i="20"/>
  <c r="BC105" i="20" s="1"/>
  <c r="BV105" i="20" s="1"/>
  <c r="BQ104" i="20"/>
  <c r="BL104" i="20"/>
  <c r="BG104" i="20"/>
  <c r="AX104" i="20"/>
  <c r="AI104" i="20"/>
  <c r="AD104" i="20"/>
  <c r="Y104" i="20"/>
  <c r="T104" i="20"/>
  <c r="O104" i="20"/>
  <c r="J104" i="20"/>
  <c r="E104" i="20"/>
  <c r="BQ103" i="20"/>
  <c r="BL103" i="20"/>
  <c r="BG103" i="20"/>
  <c r="AX103" i="20"/>
  <c r="AI103" i="20"/>
  <c r="AD103" i="20"/>
  <c r="Y103" i="20"/>
  <c r="T103" i="20"/>
  <c r="O103" i="20"/>
  <c r="J103" i="20"/>
  <c r="E103" i="20"/>
  <c r="E202" i="20" s="1"/>
  <c r="E311" i="20" s="1"/>
  <c r="BQ102" i="20"/>
  <c r="BL102" i="20"/>
  <c r="BG102" i="20"/>
  <c r="AX102" i="20"/>
  <c r="AI102" i="20"/>
  <c r="AD102" i="20"/>
  <c r="Y102" i="20"/>
  <c r="T102" i="20"/>
  <c r="O102" i="20"/>
  <c r="J102" i="20"/>
  <c r="E102" i="20"/>
  <c r="BQ101" i="20"/>
  <c r="BL101" i="20"/>
  <c r="BG101" i="20"/>
  <c r="AX101" i="20"/>
  <c r="AI101" i="20"/>
  <c r="AD101" i="20"/>
  <c r="Y101" i="20"/>
  <c r="T101" i="20"/>
  <c r="O101" i="20"/>
  <c r="J101" i="20"/>
  <c r="BQ100" i="20"/>
  <c r="BL100" i="20"/>
  <c r="BG100" i="20"/>
  <c r="AX100" i="20"/>
  <c r="AI100" i="20"/>
  <c r="AD100" i="20"/>
  <c r="Y100" i="20"/>
  <c r="T100" i="20"/>
  <c r="O100" i="20"/>
  <c r="J100" i="20"/>
  <c r="E100" i="20"/>
  <c r="BC100" i="20" s="1"/>
  <c r="BV100" i="20" s="1"/>
  <c r="BQ99" i="20"/>
  <c r="BL99" i="20"/>
  <c r="BG99" i="20"/>
  <c r="AX99" i="20"/>
  <c r="AI99" i="20"/>
  <c r="AD99" i="20"/>
  <c r="Y99" i="20"/>
  <c r="T99" i="20"/>
  <c r="O99" i="20"/>
  <c r="J99" i="20"/>
  <c r="E99" i="20"/>
  <c r="BQ98" i="20"/>
  <c r="BL98" i="20"/>
  <c r="BG98" i="20"/>
  <c r="AX98" i="20"/>
  <c r="AI98" i="20"/>
  <c r="AD98" i="20"/>
  <c r="Y98" i="20"/>
  <c r="T98" i="20"/>
  <c r="O98" i="20"/>
  <c r="J98" i="20"/>
  <c r="E98" i="20"/>
  <c r="BC98" i="20" s="1"/>
  <c r="BV98" i="20" s="1"/>
  <c r="BQ97" i="20"/>
  <c r="BL97" i="20"/>
  <c r="BG97" i="20"/>
  <c r="AX97" i="20"/>
  <c r="AI97" i="20"/>
  <c r="AD97" i="20"/>
  <c r="Y97" i="20"/>
  <c r="T97" i="20"/>
  <c r="O97" i="20"/>
  <c r="J97" i="20"/>
  <c r="E97" i="20"/>
  <c r="BQ96" i="20"/>
  <c r="BL96" i="20"/>
  <c r="BG96" i="20"/>
  <c r="AX96" i="20"/>
  <c r="AI96" i="20"/>
  <c r="AD96" i="20"/>
  <c r="Y96" i="20"/>
  <c r="T96" i="20"/>
  <c r="O96" i="20"/>
  <c r="J96" i="20"/>
  <c r="E96" i="20"/>
  <c r="BC96" i="20" s="1"/>
  <c r="BV96" i="20" s="1"/>
  <c r="BQ95" i="20"/>
  <c r="BL95" i="20"/>
  <c r="BG95" i="20"/>
  <c r="AX95" i="20"/>
  <c r="AI95" i="20"/>
  <c r="AH95" i="20"/>
  <c r="Y95" i="20"/>
  <c r="T95" i="20"/>
  <c r="O95" i="20"/>
  <c r="J95" i="20"/>
  <c r="E95" i="20"/>
  <c r="BQ94" i="20"/>
  <c r="BL94" i="20"/>
  <c r="BG94" i="20"/>
  <c r="AX94" i="20"/>
  <c r="AI94" i="20"/>
  <c r="AD94" i="20"/>
  <c r="Y94" i="20"/>
  <c r="T94" i="20"/>
  <c r="O94" i="20"/>
  <c r="J94" i="20"/>
  <c r="E94" i="20"/>
  <c r="BC94" i="20" s="1"/>
  <c r="BV94" i="20" s="1"/>
  <c r="BQ93" i="20"/>
  <c r="BL93" i="20"/>
  <c r="BG93" i="20"/>
  <c r="AX93" i="20"/>
  <c r="AI93" i="20"/>
  <c r="AD93" i="20"/>
  <c r="Y93" i="20"/>
  <c r="T93" i="20"/>
  <c r="O93" i="20"/>
  <c r="J93" i="20"/>
  <c r="E93" i="20"/>
  <c r="BQ92" i="20"/>
  <c r="BL92" i="20"/>
  <c r="BG92" i="20"/>
  <c r="AX92" i="20"/>
  <c r="AI92" i="20"/>
  <c r="AD92" i="20"/>
  <c r="Y92" i="20"/>
  <c r="T92" i="20"/>
  <c r="O92" i="20"/>
  <c r="J92" i="20"/>
  <c r="E92" i="20"/>
  <c r="BQ91" i="20"/>
  <c r="BL91" i="20"/>
  <c r="BG91" i="20"/>
  <c r="AX91" i="20"/>
  <c r="AI91" i="20"/>
  <c r="AD91" i="20"/>
  <c r="Y91" i="20"/>
  <c r="T91" i="20"/>
  <c r="O91" i="20"/>
  <c r="J91" i="20"/>
  <c r="E91" i="20"/>
  <c r="BQ90" i="20"/>
  <c r="BG90" i="20"/>
  <c r="AX90" i="20"/>
  <c r="AI90" i="20"/>
  <c r="AD90" i="20"/>
  <c r="AC90" i="20"/>
  <c r="T90" i="20"/>
  <c r="O90" i="20"/>
  <c r="J90" i="20"/>
  <c r="E90" i="20"/>
  <c r="BQ89" i="20"/>
  <c r="BL89" i="20"/>
  <c r="BG89" i="20"/>
  <c r="AX89" i="20"/>
  <c r="AI89" i="20"/>
  <c r="AD89" i="20"/>
  <c r="Y89" i="20"/>
  <c r="T89" i="20"/>
  <c r="O89" i="20"/>
  <c r="J89" i="20"/>
  <c r="E89" i="20"/>
  <c r="BC89" i="20" s="1"/>
  <c r="BV89" i="20" s="1"/>
  <c r="BQ88" i="20"/>
  <c r="BL88" i="20"/>
  <c r="BG88" i="20"/>
  <c r="AX88" i="20"/>
  <c r="AI88" i="20"/>
  <c r="AD88" i="20"/>
  <c r="Y88" i="20"/>
  <c r="T88" i="20"/>
  <c r="O88" i="20"/>
  <c r="J88" i="20"/>
  <c r="E88" i="20"/>
  <c r="BQ87" i="20"/>
  <c r="BL87" i="20"/>
  <c r="BG87" i="20"/>
  <c r="AX87" i="20"/>
  <c r="AI87" i="20"/>
  <c r="AD87" i="20"/>
  <c r="Y87" i="20"/>
  <c r="T87" i="20"/>
  <c r="O87" i="20"/>
  <c r="J87" i="20"/>
  <c r="E87" i="20"/>
  <c r="BC87" i="20" s="1"/>
  <c r="BV87" i="20" s="1"/>
  <c r="BQ86" i="20"/>
  <c r="BL86" i="20"/>
  <c r="BG86" i="20"/>
  <c r="AX86" i="20"/>
  <c r="AI86" i="20"/>
  <c r="AD86" i="20"/>
  <c r="Y86" i="20"/>
  <c r="T86" i="20"/>
  <c r="O86" i="20"/>
  <c r="J86" i="20"/>
  <c r="E86" i="20"/>
  <c r="BQ85" i="20"/>
  <c r="BL85" i="20"/>
  <c r="BG85" i="20"/>
  <c r="AX85" i="20"/>
  <c r="AI85" i="20"/>
  <c r="AD85" i="20"/>
  <c r="Y85" i="20"/>
  <c r="T85" i="20"/>
  <c r="O85" i="20"/>
  <c r="J85" i="20"/>
  <c r="E85" i="20"/>
  <c r="BC85" i="20" s="1"/>
  <c r="BV85" i="20" s="1"/>
  <c r="BQ84" i="20"/>
  <c r="BL84" i="20"/>
  <c r="BG84" i="20"/>
  <c r="AX84" i="20"/>
  <c r="AI84" i="20"/>
  <c r="AD84" i="20"/>
  <c r="Y84" i="20"/>
  <c r="T84" i="20"/>
  <c r="O84" i="20"/>
  <c r="J84" i="20"/>
  <c r="E84" i="20"/>
  <c r="BQ83" i="20"/>
  <c r="BL83" i="20"/>
  <c r="BG83" i="20"/>
  <c r="AX83" i="20"/>
  <c r="AI83" i="20"/>
  <c r="AD83" i="20"/>
  <c r="Y83" i="20"/>
  <c r="T83" i="20"/>
  <c r="O83" i="20"/>
  <c r="J83" i="20"/>
  <c r="E83" i="20"/>
  <c r="BC83" i="20" s="1"/>
  <c r="BV83" i="20" s="1"/>
  <c r="BQ82" i="20"/>
  <c r="BL82" i="20"/>
  <c r="BG82" i="20"/>
  <c r="AX82" i="20"/>
  <c r="AI82" i="20"/>
  <c r="AD82" i="20"/>
  <c r="Y82" i="20"/>
  <c r="T82" i="20"/>
  <c r="O82" i="20"/>
  <c r="J82" i="20"/>
  <c r="E82" i="20"/>
  <c r="BQ81" i="20"/>
  <c r="BL81" i="20"/>
  <c r="BG81" i="20"/>
  <c r="AX81" i="20"/>
  <c r="AI81" i="20"/>
  <c r="AD81" i="20"/>
  <c r="Y81" i="20"/>
  <c r="T81" i="20"/>
  <c r="O81" i="20"/>
  <c r="J81" i="20"/>
  <c r="E81" i="20"/>
  <c r="BC81" i="20" s="1"/>
  <c r="BV81" i="20" s="1"/>
  <c r="BQ80" i="20"/>
  <c r="BL80" i="20"/>
  <c r="BG80" i="20"/>
  <c r="AX80" i="20"/>
  <c r="AI80" i="20"/>
  <c r="AD80" i="20"/>
  <c r="Y80" i="20"/>
  <c r="T80" i="20"/>
  <c r="O80" i="20"/>
  <c r="J80" i="20"/>
  <c r="E80" i="20"/>
  <c r="BQ79" i="20"/>
  <c r="BL79" i="20"/>
  <c r="BG79" i="20"/>
  <c r="AX79" i="20"/>
  <c r="AI79" i="20"/>
  <c r="AD79" i="20"/>
  <c r="Y79" i="20"/>
  <c r="T79" i="20"/>
  <c r="O79" i="20"/>
  <c r="J79" i="20"/>
  <c r="E79" i="20"/>
  <c r="BC79" i="20" s="1"/>
  <c r="BV79" i="20" s="1"/>
  <c r="BQ78" i="20"/>
  <c r="BL78" i="20"/>
  <c r="BG78" i="20"/>
  <c r="AX78" i="20"/>
  <c r="AI78" i="20"/>
  <c r="AD78" i="20"/>
  <c r="AD76" i="20" s="1"/>
  <c r="Y78" i="20"/>
  <c r="T78" i="20"/>
  <c r="O78" i="20"/>
  <c r="J78" i="20"/>
  <c r="E78" i="20"/>
  <c r="BQ77" i="20"/>
  <c r="BQ76" i="20" s="1"/>
  <c r="BL77" i="20"/>
  <c r="BG77" i="20"/>
  <c r="BG76" i="20" s="1"/>
  <c r="AX77" i="20"/>
  <c r="AI77" i="20"/>
  <c r="AD77" i="20"/>
  <c r="Y77" i="20"/>
  <c r="T77" i="20"/>
  <c r="O77" i="20"/>
  <c r="J77" i="20"/>
  <c r="E77" i="20"/>
  <c r="BC77" i="20" s="1"/>
  <c r="BV77" i="20" s="1"/>
  <c r="BL76" i="20"/>
  <c r="BD76" i="20"/>
  <c r="AH76" i="20"/>
  <c r="AG76" i="20"/>
  <c r="AF76" i="20"/>
  <c r="AE76" i="20"/>
  <c r="AC76" i="20"/>
  <c r="AB76" i="20"/>
  <c r="AA76" i="20"/>
  <c r="Z76" i="20"/>
  <c r="X76" i="20"/>
  <c r="W76" i="20"/>
  <c r="V76" i="20"/>
  <c r="U76" i="20"/>
  <c r="S76" i="20"/>
  <c r="R76" i="20"/>
  <c r="Q76" i="20"/>
  <c r="P76" i="20"/>
  <c r="J76" i="20"/>
  <c r="I76" i="20"/>
  <c r="H76" i="20"/>
  <c r="G76" i="20"/>
  <c r="F76" i="20"/>
  <c r="BQ75" i="20"/>
  <c r="BL75" i="20"/>
  <c r="BG75" i="20"/>
  <c r="AX75" i="20"/>
  <c r="AI75" i="20"/>
  <c r="AD75" i="20"/>
  <c r="Y75" i="20"/>
  <c r="T75" i="20"/>
  <c r="O75" i="20"/>
  <c r="J75" i="20"/>
  <c r="E75" i="20"/>
  <c r="BC75" i="20" s="1"/>
  <c r="BV75" i="20" s="1"/>
  <c r="BQ74" i="20"/>
  <c r="BL74" i="20"/>
  <c r="BG74" i="20"/>
  <c r="BG206" i="20" s="1"/>
  <c r="AX74" i="20"/>
  <c r="AX206" i="20" s="1"/>
  <c r="AI74" i="20"/>
  <c r="AI206" i="20" s="1"/>
  <c r="AD74" i="20"/>
  <c r="Y74" i="20"/>
  <c r="Y206" i="20" s="1"/>
  <c r="T74" i="20"/>
  <c r="T206" i="20" s="1"/>
  <c r="O74" i="20"/>
  <c r="J74" i="20"/>
  <c r="E74" i="20"/>
  <c r="E206" i="20" s="1"/>
  <c r="BQ73" i="20"/>
  <c r="BQ72" i="20" s="1"/>
  <c r="BL73" i="20"/>
  <c r="BG73" i="20"/>
  <c r="AX73" i="20"/>
  <c r="AI73" i="20"/>
  <c r="AI72" i="20" s="1"/>
  <c r="AD73" i="20"/>
  <c r="AC73" i="20"/>
  <c r="AC72" i="20" s="1"/>
  <c r="AC71" i="20" s="1"/>
  <c r="T73" i="20"/>
  <c r="O73" i="20"/>
  <c r="J73" i="20"/>
  <c r="I73" i="20"/>
  <c r="BF72" i="20"/>
  <c r="BE72" i="20"/>
  <c r="BD72" i="20"/>
  <c r="BD71" i="20" s="1"/>
  <c r="AH72" i="20"/>
  <c r="AG72" i="20"/>
  <c r="AG71" i="20" s="1"/>
  <c r="AF72" i="20"/>
  <c r="AF71" i="20" s="1"/>
  <c r="AE72" i="20"/>
  <c r="AB72" i="20"/>
  <c r="AB71" i="20" s="1"/>
  <c r="AA72" i="20"/>
  <c r="Z72" i="20"/>
  <c r="Z71" i="20" s="1"/>
  <c r="X72" i="20"/>
  <c r="W72" i="20"/>
  <c r="W71" i="20" s="1"/>
  <c r="V72" i="20"/>
  <c r="U72" i="20"/>
  <c r="S72" i="20"/>
  <c r="R72" i="20"/>
  <c r="R71" i="20" s="1"/>
  <c r="Q72" i="20"/>
  <c r="P72" i="20"/>
  <c r="N72" i="20"/>
  <c r="N71" i="20" s="1"/>
  <c r="M72" i="20"/>
  <c r="M71" i="20" s="1"/>
  <c r="L72" i="20"/>
  <c r="K72" i="20"/>
  <c r="H72" i="20"/>
  <c r="G72" i="20"/>
  <c r="F72" i="20"/>
  <c r="BM72" i="20" s="1"/>
  <c r="BM71" i="20" s="1"/>
  <c r="BU71" i="20"/>
  <c r="BT71" i="20"/>
  <c r="BS71" i="20"/>
  <c r="BR71" i="20"/>
  <c r="BK71" i="20"/>
  <c r="BJ71" i="20"/>
  <c r="BI71" i="20"/>
  <c r="BH71" i="20"/>
  <c r="BF71" i="20"/>
  <c r="BE71" i="20"/>
  <c r="BB71" i="20"/>
  <c r="BA71" i="20"/>
  <c r="AZ71" i="20"/>
  <c r="AY71" i="20"/>
  <c r="AR71" i="20"/>
  <c r="AQ71" i="20"/>
  <c r="AP71" i="20"/>
  <c r="AO71" i="20"/>
  <c r="AN71" i="20"/>
  <c r="AM71" i="20"/>
  <c r="AL71" i="20"/>
  <c r="AK71" i="20"/>
  <c r="AJ71" i="20"/>
  <c r="AE71" i="20"/>
  <c r="X71" i="20"/>
  <c r="S71" i="20"/>
  <c r="P71" i="20"/>
  <c r="L71" i="20"/>
  <c r="K71" i="20"/>
  <c r="H71" i="20"/>
  <c r="G71" i="20"/>
  <c r="BQ70" i="20"/>
  <c r="BL70" i="20"/>
  <c r="BG70" i="20"/>
  <c r="AX70" i="20"/>
  <c r="BC70" i="20" s="1"/>
  <c r="BV70" i="20" s="1"/>
  <c r="E70" i="20"/>
  <c r="BQ69" i="20"/>
  <c r="BL69" i="20"/>
  <c r="BG69" i="20"/>
  <c r="AX69" i="20"/>
  <c r="E69" i="20"/>
  <c r="BQ68" i="20"/>
  <c r="BL68" i="20"/>
  <c r="BG68" i="20"/>
  <c r="AX68" i="20"/>
  <c r="AI68" i="20"/>
  <c r="AD68" i="20"/>
  <c r="Y68" i="20"/>
  <c r="T68" i="20"/>
  <c r="J68" i="20"/>
  <c r="E68" i="20"/>
  <c r="BC68" i="20" s="1"/>
  <c r="BV68" i="20" s="1"/>
  <c r="BQ67" i="20"/>
  <c r="BL67" i="20"/>
  <c r="BG67" i="20"/>
  <c r="AX67" i="20"/>
  <c r="AI67" i="20"/>
  <c r="AD67" i="20"/>
  <c r="Y67" i="20"/>
  <c r="T67" i="20"/>
  <c r="J67" i="20"/>
  <c r="E67" i="20"/>
  <c r="BQ66" i="20"/>
  <c r="BL66" i="20"/>
  <c r="BG66" i="20"/>
  <c r="AX66" i="20"/>
  <c r="AI66" i="20"/>
  <c r="AD66" i="20"/>
  <c r="Y66" i="20"/>
  <c r="T66" i="20"/>
  <c r="O66" i="20"/>
  <c r="J66" i="20"/>
  <c r="E66" i="20"/>
  <c r="BQ65" i="20"/>
  <c r="BL65" i="20"/>
  <c r="BG65" i="20"/>
  <c r="AX65" i="20"/>
  <c r="AI65" i="20"/>
  <c r="AD65" i="20"/>
  <c r="Y65" i="20"/>
  <c r="T65" i="20"/>
  <c r="O65" i="20"/>
  <c r="J65" i="20"/>
  <c r="E65" i="20"/>
  <c r="BQ64" i="20"/>
  <c r="BL64" i="20"/>
  <c r="BG64" i="20"/>
  <c r="AX64" i="20"/>
  <c r="AI64" i="20"/>
  <c r="AD64" i="20"/>
  <c r="Y64" i="20"/>
  <c r="T64" i="20"/>
  <c r="O64" i="20"/>
  <c r="J64" i="20"/>
  <c r="E64" i="20"/>
  <c r="BQ63" i="20"/>
  <c r="BL63" i="20"/>
  <c r="BG63" i="20"/>
  <c r="AX63" i="20"/>
  <c r="AI63" i="20"/>
  <c r="AD63" i="20"/>
  <c r="Y63" i="20"/>
  <c r="T63" i="20"/>
  <c r="O63" i="20"/>
  <c r="J63" i="20"/>
  <c r="E63" i="20"/>
  <c r="BC63" i="20" s="1"/>
  <c r="BV63" i="20" s="1"/>
  <c r="BQ62" i="20"/>
  <c r="BL62" i="20"/>
  <c r="BG62" i="20"/>
  <c r="AX62" i="20"/>
  <c r="AI62" i="20"/>
  <c r="AD62" i="20"/>
  <c r="Y62" i="20"/>
  <c r="T62" i="20"/>
  <c r="O62" i="20"/>
  <c r="J62" i="20"/>
  <c r="E62" i="20"/>
  <c r="BQ61" i="20"/>
  <c r="BL61" i="20"/>
  <c r="BG61" i="20"/>
  <c r="AX61" i="20"/>
  <c r="AI61" i="20"/>
  <c r="AD61" i="20"/>
  <c r="Y61" i="20"/>
  <c r="T61" i="20"/>
  <c r="O61" i="20"/>
  <c r="J61" i="20"/>
  <c r="E61" i="20"/>
  <c r="BQ60" i="20"/>
  <c r="BL60" i="20"/>
  <c r="BG60" i="20"/>
  <c r="AX60" i="20"/>
  <c r="AI60" i="20"/>
  <c r="AD60" i="20"/>
  <c r="Y60" i="20"/>
  <c r="T60" i="20"/>
  <c r="O60" i="20"/>
  <c r="J60" i="20"/>
  <c r="E60" i="20"/>
  <c r="BQ59" i="20"/>
  <c r="BL59" i="20"/>
  <c r="BG59" i="20"/>
  <c r="AX59" i="20"/>
  <c r="AI59" i="20"/>
  <c r="AD59" i="20"/>
  <c r="Y59" i="20"/>
  <c r="T59" i="20"/>
  <c r="O59" i="20"/>
  <c r="J59" i="20"/>
  <c r="E59" i="20"/>
  <c r="BC59" i="20" s="1"/>
  <c r="BV59" i="20" s="1"/>
  <c r="BQ58" i="20"/>
  <c r="BL58" i="20"/>
  <c r="BG58" i="20"/>
  <c r="AX58" i="20"/>
  <c r="AI58" i="20"/>
  <c r="AD58" i="20"/>
  <c r="Y58" i="20"/>
  <c r="T58" i="20"/>
  <c r="O58" i="20"/>
  <c r="J58" i="20"/>
  <c r="E58" i="20"/>
  <c r="BQ57" i="20"/>
  <c r="BL57" i="20"/>
  <c r="BG57" i="20"/>
  <c r="AX57" i="20"/>
  <c r="AI57" i="20"/>
  <c r="AD57" i="20"/>
  <c r="Y57" i="20"/>
  <c r="T57" i="20"/>
  <c r="O57" i="20"/>
  <c r="J57" i="20"/>
  <c r="E57" i="20"/>
  <c r="BQ56" i="20"/>
  <c r="BG56" i="20"/>
  <c r="AX56" i="20"/>
  <c r="AI56" i="20"/>
  <c r="AD56" i="20"/>
  <c r="AC56" i="20"/>
  <c r="T56" i="20"/>
  <c r="O56" i="20"/>
  <c r="J56" i="20"/>
  <c r="E56" i="20"/>
  <c r="BQ55" i="20"/>
  <c r="BL55" i="20"/>
  <c r="BG55" i="20"/>
  <c r="AX55" i="20"/>
  <c r="AI55" i="20"/>
  <c r="AD55" i="20"/>
  <c r="Y55" i="20"/>
  <c r="T55" i="20"/>
  <c r="O55" i="20"/>
  <c r="J55" i="20"/>
  <c r="E55" i="20"/>
  <c r="BQ54" i="20"/>
  <c r="BL54" i="20"/>
  <c r="BG54" i="20"/>
  <c r="AX54" i="20"/>
  <c r="AI54" i="20"/>
  <c r="AD54" i="20"/>
  <c r="Y54" i="20"/>
  <c r="T54" i="20"/>
  <c r="O54" i="20"/>
  <c r="J54" i="20"/>
  <c r="E54" i="20"/>
  <c r="BC54" i="20" s="1"/>
  <c r="BV54" i="20" s="1"/>
  <c r="BQ53" i="20"/>
  <c r="BL53" i="20"/>
  <c r="BG53" i="20"/>
  <c r="AX53" i="20"/>
  <c r="AI53" i="20"/>
  <c r="AD53" i="20"/>
  <c r="Y53" i="20"/>
  <c r="T53" i="20"/>
  <c r="O53" i="20"/>
  <c r="J53" i="20"/>
  <c r="E53" i="20"/>
  <c r="BQ52" i="20"/>
  <c r="BL52" i="20"/>
  <c r="BG52" i="20"/>
  <c r="AX52" i="20"/>
  <c r="AI52" i="20"/>
  <c r="AD52" i="20"/>
  <c r="Y52" i="20"/>
  <c r="T52" i="20"/>
  <c r="O52" i="20"/>
  <c r="J52" i="20"/>
  <c r="E52" i="20"/>
  <c r="BC52" i="20" s="1"/>
  <c r="BV52" i="20" s="1"/>
  <c r="BQ51" i="20"/>
  <c r="BL51" i="20"/>
  <c r="BG51" i="20"/>
  <c r="AX51" i="20"/>
  <c r="AI51" i="20"/>
  <c r="AD51" i="20"/>
  <c r="Y51" i="20"/>
  <c r="T51" i="20"/>
  <c r="O51" i="20"/>
  <c r="J51" i="20"/>
  <c r="E51" i="20"/>
  <c r="BQ50" i="20"/>
  <c r="BL50" i="20"/>
  <c r="BG50" i="20"/>
  <c r="AX50" i="20"/>
  <c r="AI50" i="20"/>
  <c r="AD50" i="20"/>
  <c r="Y50" i="20"/>
  <c r="T50" i="20"/>
  <c r="O50" i="20"/>
  <c r="J50" i="20"/>
  <c r="E50" i="20"/>
  <c r="BC50" i="20" s="1"/>
  <c r="BV50" i="20" s="1"/>
  <c r="BQ49" i="20"/>
  <c r="BL49" i="20"/>
  <c r="BG49" i="20"/>
  <c r="AX49" i="20"/>
  <c r="AI49" i="20"/>
  <c r="AD49" i="20"/>
  <c r="Y49" i="20"/>
  <c r="T49" i="20"/>
  <c r="O49" i="20"/>
  <c r="J49" i="20"/>
  <c r="E49" i="20"/>
  <c r="BQ48" i="20"/>
  <c r="BL48" i="20"/>
  <c r="BG48" i="20"/>
  <c r="AX48" i="20"/>
  <c r="AI48" i="20"/>
  <c r="AD48" i="20"/>
  <c r="Y48" i="20"/>
  <c r="T48" i="20"/>
  <c r="O48" i="20"/>
  <c r="J48" i="20"/>
  <c r="E48" i="20"/>
  <c r="BC48" i="20" s="1"/>
  <c r="BV48" i="20" s="1"/>
  <c r="BQ47" i="20"/>
  <c r="BL47" i="20"/>
  <c r="BG47" i="20"/>
  <c r="AX47" i="20"/>
  <c r="AI47" i="20"/>
  <c r="AD47" i="20"/>
  <c r="Y47" i="20"/>
  <c r="T47" i="20"/>
  <c r="O47" i="20"/>
  <c r="J47" i="20"/>
  <c r="E47" i="20"/>
  <c r="BQ46" i="20"/>
  <c r="BL46" i="20"/>
  <c r="BG46" i="20"/>
  <c r="AX46" i="20"/>
  <c r="AI46" i="20"/>
  <c r="AD46" i="20"/>
  <c r="Y46" i="20"/>
  <c r="T46" i="20"/>
  <c r="O46" i="20"/>
  <c r="J46" i="20"/>
  <c r="E46" i="20"/>
  <c r="BC46" i="20" s="1"/>
  <c r="BV46" i="20" s="1"/>
  <c r="BQ45" i="20"/>
  <c r="BL45" i="20"/>
  <c r="BG45" i="20"/>
  <c r="AX45" i="20"/>
  <c r="AX43" i="20" s="1"/>
  <c r="AI45" i="20"/>
  <c r="AD45" i="20"/>
  <c r="Y45" i="20"/>
  <c r="T45" i="20"/>
  <c r="O45" i="20"/>
  <c r="J45" i="20"/>
  <c r="E45" i="20"/>
  <c r="BQ44" i="20"/>
  <c r="BL44" i="20"/>
  <c r="BG44" i="20"/>
  <c r="AX44" i="20"/>
  <c r="AI44" i="20"/>
  <c r="AD44" i="20"/>
  <c r="AC44" i="20"/>
  <c r="Y44" i="20" s="1"/>
  <c r="T44" i="20"/>
  <c r="O44" i="20"/>
  <c r="J44" i="20"/>
  <c r="E44" i="20"/>
  <c r="BU43" i="20"/>
  <c r="BT43" i="20"/>
  <c r="BS43" i="20"/>
  <c r="BR43" i="20"/>
  <c r="BO43" i="20"/>
  <c r="BN43" i="20"/>
  <c r="BM43" i="20"/>
  <c r="BK43" i="20"/>
  <c r="BJ43" i="20"/>
  <c r="BI43" i="20"/>
  <c r="BH43" i="20"/>
  <c r="BF43" i="20"/>
  <c r="BE43" i="20"/>
  <c r="BD43" i="20"/>
  <c r="BB43" i="20"/>
  <c r="BA43" i="20"/>
  <c r="AZ43" i="20"/>
  <c r="AY43" i="20"/>
  <c r="AR43" i="20"/>
  <c r="AQ43" i="20"/>
  <c r="AP43" i="20"/>
  <c r="AO43" i="20"/>
  <c r="AN43" i="20"/>
  <c r="AM43" i="20"/>
  <c r="AL43" i="20"/>
  <c r="AK43" i="20"/>
  <c r="AJ43" i="20"/>
  <c r="AH43" i="20"/>
  <c r="AG43" i="20"/>
  <c r="AF43" i="20"/>
  <c r="AE43" i="20"/>
  <c r="AB43" i="20"/>
  <c r="AA43" i="20"/>
  <c r="Z43" i="20"/>
  <c r="X43" i="20"/>
  <c r="W43" i="20"/>
  <c r="V43" i="20"/>
  <c r="U43" i="20"/>
  <c r="S43" i="20"/>
  <c r="R43" i="20"/>
  <c r="Q43" i="20"/>
  <c r="P43" i="20"/>
  <c r="N43" i="20"/>
  <c r="M43" i="20"/>
  <c r="L43" i="20"/>
  <c r="K43" i="20"/>
  <c r="I43" i="20"/>
  <c r="H43" i="20"/>
  <c r="G43" i="20"/>
  <c r="F43" i="20"/>
  <c r="E43" i="20"/>
  <c r="BQ42" i="20"/>
  <c r="BL42" i="20"/>
  <c r="BG42" i="20"/>
  <c r="AX42" i="20"/>
  <c r="E42" i="20"/>
  <c r="BC42" i="20" s="1"/>
  <c r="BV42" i="20" s="1"/>
  <c r="BQ41" i="20"/>
  <c r="BL41" i="20"/>
  <c r="BG41" i="20"/>
  <c r="AX41" i="20"/>
  <c r="E41" i="20"/>
  <c r="BC41" i="20" s="1"/>
  <c r="BV41" i="20" s="1"/>
  <c r="BQ40" i="20"/>
  <c r="BL40" i="20"/>
  <c r="BG40" i="20"/>
  <c r="AX40" i="20"/>
  <c r="AI40" i="20"/>
  <c r="AD40" i="20"/>
  <c r="Y40" i="20"/>
  <c r="T40" i="20"/>
  <c r="O40" i="20"/>
  <c r="J40" i="20"/>
  <c r="E40" i="20"/>
  <c r="BQ39" i="20"/>
  <c r="BQ205" i="20" s="1"/>
  <c r="BQ314" i="20" s="1"/>
  <c r="BL39" i="20"/>
  <c r="BG39" i="20"/>
  <c r="AX39" i="20"/>
  <c r="AX205" i="20" s="1"/>
  <c r="AX314" i="20" s="1"/>
  <c r="AI39" i="20"/>
  <c r="AI205" i="20" s="1"/>
  <c r="AI314" i="20" s="1"/>
  <c r="AD39" i="20"/>
  <c r="Y39" i="20"/>
  <c r="Y205" i="20" s="1"/>
  <c r="Y314" i="20" s="1"/>
  <c r="T39" i="20"/>
  <c r="O39" i="20"/>
  <c r="J39" i="20"/>
  <c r="E39" i="20"/>
  <c r="E205" i="20" s="1"/>
  <c r="E314" i="20" s="1"/>
  <c r="BQ38" i="20"/>
  <c r="BQ202" i="20" s="1"/>
  <c r="BQ311" i="20" s="1"/>
  <c r="BL38" i="20"/>
  <c r="BG38" i="20"/>
  <c r="BG202" i="20" s="1"/>
  <c r="BG311" i="20" s="1"/>
  <c r="AX38" i="20"/>
  <c r="AI38" i="20"/>
  <c r="AI202" i="20" s="1"/>
  <c r="AI311" i="20" s="1"/>
  <c r="AD38" i="20"/>
  <c r="AD202" i="20" s="1"/>
  <c r="AD311" i="20" s="1"/>
  <c r="Y38" i="20"/>
  <c r="Y202" i="20" s="1"/>
  <c r="Y311" i="20" s="1"/>
  <c r="T38" i="20"/>
  <c r="O38" i="20"/>
  <c r="O202" i="20" s="1"/>
  <c r="O311" i="20" s="1"/>
  <c r="J38" i="20"/>
  <c r="J202" i="20" s="1"/>
  <c r="J311" i="20" s="1"/>
  <c r="BQ37" i="20"/>
  <c r="BL37" i="20"/>
  <c r="BG37" i="20"/>
  <c r="AX37" i="20"/>
  <c r="AI37" i="20"/>
  <c r="AD37" i="20"/>
  <c r="Y37" i="20"/>
  <c r="T37" i="20"/>
  <c r="O37" i="20"/>
  <c r="J37" i="20"/>
  <c r="E37" i="20"/>
  <c r="BQ36" i="20"/>
  <c r="BL36" i="20"/>
  <c r="BG36" i="20"/>
  <c r="AX36" i="20"/>
  <c r="AI36" i="20"/>
  <c r="AD36" i="20"/>
  <c r="Y36" i="20"/>
  <c r="T36" i="20"/>
  <c r="O36" i="20"/>
  <c r="J36" i="20"/>
  <c r="E36" i="20"/>
  <c r="BQ35" i="20"/>
  <c r="BL35" i="20"/>
  <c r="BG35" i="20"/>
  <c r="AX35" i="20"/>
  <c r="AI35" i="20"/>
  <c r="AD35" i="20"/>
  <c r="Y35" i="20"/>
  <c r="T35" i="20"/>
  <c r="O35" i="20"/>
  <c r="J35" i="20"/>
  <c r="E35" i="20"/>
  <c r="BQ34" i="20"/>
  <c r="BL34" i="20"/>
  <c r="BG34" i="20"/>
  <c r="AX34" i="20"/>
  <c r="AI34" i="20"/>
  <c r="AD34" i="20"/>
  <c r="Y34" i="20"/>
  <c r="T34" i="20"/>
  <c r="O34" i="20"/>
  <c r="J34" i="20"/>
  <c r="E34" i="20"/>
  <c r="BC34" i="20" s="1"/>
  <c r="BV34" i="20" s="1"/>
  <c r="BQ33" i="20"/>
  <c r="BL33" i="20"/>
  <c r="BG33" i="20"/>
  <c r="AX33" i="20"/>
  <c r="AI33" i="20"/>
  <c r="AD33" i="20"/>
  <c r="Y33" i="20"/>
  <c r="T33" i="20"/>
  <c r="O33" i="20"/>
  <c r="J33" i="20"/>
  <c r="E33" i="20"/>
  <c r="BQ32" i="20"/>
  <c r="BQ204" i="20" s="1"/>
  <c r="BQ313" i="20" s="1"/>
  <c r="BL32" i="20"/>
  <c r="BL204" i="20" s="1"/>
  <c r="BL313" i="20" s="1"/>
  <c r="BG32" i="20"/>
  <c r="AX32" i="20"/>
  <c r="AI32" i="20"/>
  <c r="AD32" i="20"/>
  <c r="Y32" i="20"/>
  <c r="T32" i="20"/>
  <c r="T204" i="20" s="1"/>
  <c r="T313" i="20" s="1"/>
  <c r="O32" i="20"/>
  <c r="J32" i="20"/>
  <c r="E32" i="20"/>
  <c r="BQ31" i="20"/>
  <c r="BL31" i="20"/>
  <c r="BG31" i="20"/>
  <c r="AX31" i="20"/>
  <c r="AI31" i="20"/>
  <c r="AD31" i="20"/>
  <c r="Y31" i="20"/>
  <c r="T31" i="20"/>
  <c r="O31" i="20"/>
  <c r="J31" i="20"/>
  <c r="BC31" i="20" s="1"/>
  <c r="BV31" i="20" s="1"/>
  <c r="BQ30" i="20"/>
  <c r="BL30" i="20"/>
  <c r="BG30" i="20"/>
  <c r="AX30" i="20"/>
  <c r="AI30" i="20"/>
  <c r="AD30" i="20"/>
  <c r="Y30" i="20"/>
  <c r="T30" i="20"/>
  <c r="O30" i="20"/>
  <c r="J30" i="20"/>
  <c r="BQ29" i="20"/>
  <c r="BL29" i="20"/>
  <c r="BG29" i="20"/>
  <c r="AX29" i="20"/>
  <c r="AI29" i="20"/>
  <c r="AD29" i="20"/>
  <c r="Y29" i="20"/>
  <c r="T29" i="20"/>
  <c r="O29" i="20"/>
  <c r="J29" i="20"/>
  <c r="BC29" i="20" s="1"/>
  <c r="BV29" i="20" s="1"/>
  <c r="BQ28" i="20"/>
  <c r="BL28" i="20"/>
  <c r="BG28" i="20"/>
  <c r="AX28" i="20"/>
  <c r="AI28" i="20"/>
  <c r="AD28" i="20"/>
  <c r="Y28" i="20"/>
  <c r="T28" i="20"/>
  <c r="O28" i="20"/>
  <c r="J28" i="20"/>
  <c r="BQ27" i="20"/>
  <c r="BL27" i="20"/>
  <c r="BG27" i="20"/>
  <c r="AX27" i="20"/>
  <c r="AI27" i="20"/>
  <c r="AD27" i="20"/>
  <c r="Y27" i="20"/>
  <c r="T27" i="20"/>
  <c r="O27" i="20"/>
  <c r="J27" i="20"/>
  <c r="BC27" i="20" s="1"/>
  <c r="BV27" i="20" s="1"/>
  <c r="BQ26" i="20"/>
  <c r="BL26" i="20"/>
  <c r="BG26" i="20"/>
  <c r="AX26" i="20"/>
  <c r="AI26" i="20"/>
  <c r="AD26" i="20"/>
  <c r="Y26" i="20"/>
  <c r="T26" i="20"/>
  <c r="O26" i="20"/>
  <c r="J26" i="20"/>
  <c r="BQ25" i="20"/>
  <c r="BL25" i="20"/>
  <c r="BG25" i="20"/>
  <c r="AX25" i="20"/>
  <c r="AI25" i="20"/>
  <c r="AD25" i="20"/>
  <c r="Y25" i="20"/>
  <c r="T25" i="20"/>
  <c r="O25" i="20"/>
  <c r="J25" i="20"/>
  <c r="BC25" i="20" s="1"/>
  <c r="BV25" i="20" s="1"/>
  <c r="BQ24" i="20"/>
  <c r="BL24" i="20"/>
  <c r="BG24" i="20"/>
  <c r="AX24" i="20"/>
  <c r="AI24" i="20"/>
  <c r="AD24" i="20"/>
  <c r="Y24" i="20"/>
  <c r="T24" i="20"/>
  <c r="O24" i="20"/>
  <c r="J24" i="20"/>
  <c r="BQ23" i="20"/>
  <c r="BP23" i="20"/>
  <c r="BG23" i="20"/>
  <c r="AX23" i="20"/>
  <c r="AI23" i="20"/>
  <c r="AD23" i="20"/>
  <c r="AC23" i="20"/>
  <c r="Y23" i="20"/>
  <c r="T23" i="20"/>
  <c r="O23" i="20"/>
  <c r="J23" i="20"/>
  <c r="BQ22" i="20"/>
  <c r="BL22" i="20"/>
  <c r="BG22" i="20"/>
  <c r="AX22" i="20"/>
  <c r="AI22" i="20"/>
  <c r="AD22" i="20"/>
  <c r="Y22" i="20"/>
  <c r="T22" i="20"/>
  <c r="O22" i="20"/>
  <c r="J22" i="20"/>
  <c r="E22" i="20"/>
  <c r="BC22" i="20" s="1"/>
  <c r="BV22" i="20" s="1"/>
  <c r="BQ21" i="20"/>
  <c r="BL21" i="20"/>
  <c r="BG21" i="20"/>
  <c r="AX21" i="20"/>
  <c r="AI21" i="20"/>
  <c r="AD21" i="20"/>
  <c r="AC21" i="20"/>
  <c r="T21" i="20"/>
  <c r="O21" i="20"/>
  <c r="J21" i="20"/>
  <c r="E21" i="20"/>
  <c r="BQ20" i="20"/>
  <c r="BL20" i="20"/>
  <c r="BG20" i="20"/>
  <c r="AX20" i="20"/>
  <c r="AI20" i="20"/>
  <c r="AD20" i="20"/>
  <c r="Y20" i="20"/>
  <c r="T20" i="20"/>
  <c r="O20" i="20"/>
  <c r="J20" i="20"/>
  <c r="E20" i="20"/>
  <c r="BC20" i="20" s="1"/>
  <c r="BV20" i="20" s="1"/>
  <c r="BQ19" i="20"/>
  <c r="BL19" i="20"/>
  <c r="BG19" i="20"/>
  <c r="AX19" i="20"/>
  <c r="AI19" i="20"/>
  <c r="AD19" i="20"/>
  <c r="Y19" i="20"/>
  <c r="T19" i="20"/>
  <c r="O19" i="20"/>
  <c r="J19" i="20"/>
  <c r="E19" i="20"/>
  <c r="BQ18" i="20"/>
  <c r="BL18" i="20"/>
  <c r="BG18" i="20"/>
  <c r="AX18" i="20"/>
  <c r="AI18" i="20"/>
  <c r="AD18" i="20"/>
  <c r="Y18" i="20"/>
  <c r="T18" i="20"/>
  <c r="O18" i="20"/>
  <c r="J18" i="20"/>
  <c r="E18" i="20"/>
  <c r="BC18" i="20" s="1"/>
  <c r="BV18" i="20" s="1"/>
  <c r="BQ17" i="20"/>
  <c r="BL17" i="20"/>
  <c r="BG17" i="20"/>
  <c r="AX17" i="20"/>
  <c r="AI17" i="20"/>
  <c r="AD17" i="20"/>
  <c r="Y17" i="20"/>
  <c r="T17" i="20"/>
  <c r="O17" i="20"/>
  <c r="J17" i="20"/>
  <c r="E17" i="20"/>
  <c r="BQ16" i="20"/>
  <c r="BL16" i="20"/>
  <c r="BG16" i="20"/>
  <c r="AX16" i="20"/>
  <c r="AI16" i="20"/>
  <c r="AD16" i="20"/>
  <c r="Y16" i="20"/>
  <c r="T16" i="20"/>
  <c r="O16" i="20"/>
  <c r="J16" i="20"/>
  <c r="BQ15" i="20"/>
  <c r="BL15" i="20"/>
  <c r="BG15" i="20"/>
  <c r="AX15" i="20"/>
  <c r="AI15" i="20"/>
  <c r="AD15" i="20"/>
  <c r="Y15" i="20"/>
  <c r="T15" i="20"/>
  <c r="O15" i="20"/>
  <c r="J15" i="20"/>
  <c r="BQ14" i="20"/>
  <c r="BL14" i="20"/>
  <c r="BG14" i="20"/>
  <c r="AX14" i="20"/>
  <c r="AI14" i="20"/>
  <c r="AD14" i="20"/>
  <c r="Y14" i="20"/>
  <c r="T14" i="20"/>
  <c r="O14" i="20"/>
  <c r="J14" i="20"/>
  <c r="BQ13" i="20"/>
  <c r="BL13" i="20"/>
  <c r="BG13" i="20"/>
  <c r="AX13" i="20"/>
  <c r="AI13" i="20"/>
  <c r="AD13" i="20"/>
  <c r="Y13" i="20"/>
  <c r="T13" i="20"/>
  <c r="O13" i="20"/>
  <c r="J13" i="20"/>
  <c r="BQ12" i="20"/>
  <c r="BQ203" i="20" s="1"/>
  <c r="BQ312" i="20" s="1"/>
  <c r="BL12" i="20"/>
  <c r="BG12" i="20"/>
  <c r="AX12" i="20"/>
  <c r="AI12" i="20"/>
  <c r="AD12" i="20"/>
  <c r="Y12" i="20"/>
  <c r="T12" i="20"/>
  <c r="O12" i="20"/>
  <c r="J12" i="20"/>
  <c r="BQ11" i="20"/>
  <c r="BL11" i="20"/>
  <c r="BG11" i="20"/>
  <c r="AX11" i="20"/>
  <c r="AI11" i="20"/>
  <c r="AH11" i="20"/>
  <c r="AD11" i="20"/>
  <c r="Y11" i="20"/>
  <c r="T11" i="20"/>
  <c r="O11" i="20"/>
  <c r="J11" i="20"/>
  <c r="J7" i="20" s="1"/>
  <c r="E11" i="20"/>
  <c r="BQ10" i="20"/>
  <c r="BL10" i="20"/>
  <c r="BG10" i="20"/>
  <c r="AX10" i="20"/>
  <c r="AI10" i="20"/>
  <c r="E10" i="20"/>
  <c r="BQ9" i="20"/>
  <c r="BQ8" i="20" s="1"/>
  <c r="BQ201" i="20" s="1"/>
  <c r="BQ310" i="20" s="1"/>
  <c r="BL9" i="20"/>
  <c r="BG9" i="20"/>
  <c r="AX9" i="20"/>
  <c r="AI9" i="20"/>
  <c r="AD9" i="20"/>
  <c r="AD8" i="20" s="1"/>
  <c r="AC9" i="20"/>
  <c r="Y9" i="20" s="1"/>
  <c r="W9" i="20"/>
  <c r="V9" i="20"/>
  <c r="V8" i="20" s="1"/>
  <c r="V201" i="20" s="1"/>
  <c r="V310" i="20" s="1"/>
  <c r="U9" i="20"/>
  <c r="O9" i="20"/>
  <c r="J9" i="20"/>
  <c r="J8" i="20" s="1"/>
  <c r="E9" i="20"/>
  <c r="E8" i="20" s="1"/>
  <c r="BU8" i="20"/>
  <c r="BU201" i="20" s="1"/>
  <c r="BU310" i="20" s="1"/>
  <c r="BT8" i="20"/>
  <c r="BT201" i="20" s="1"/>
  <c r="BT310" i="20" s="1"/>
  <c r="BS8" i="20"/>
  <c r="BS201" i="20" s="1"/>
  <c r="BS310" i="20" s="1"/>
  <c r="BR8" i="20"/>
  <c r="BR201" i="20" s="1"/>
  <c r="BR310" i="20" s="1"/>
  <c r="BB8" i="20"/>
  <c r="BB201" i="20" s="1"/>
  <c r="BB310" i="20" s="1"/>
  <c r="BA8" i="20"/>
  <c r="BA201" i="20" s="1"/>
  <c r="BA310" i="20" s="1"/>
  <c r="AZ8" i="20"/>
  <c r="AZ201" i="20" s="1"/>
  <c r="AZ310" i="20" s="1"/>
  <c r="AY8" i="20"/>
  <c r="AY201" i="20" s="1"/>
  <c r="AY310" i="20" s="1"/>
  <c r="AX8" i="20"/>
  <c r="AR8" i="20"/>
  <c r="AR201" i="20" s="1"/>
  <c r="AR310" i="20" s="1"/>
  <c r="AQ8" i="20"/>
  <c r="AQ201" i="20" s="1"/>
  <c r="AQ310" i="20" s="1"/>
  <c r="AP8" i="20"/>
  <c r="AP201" i="20" s="1"/>
  <c r="AP310" i="20" s="1"/>
  <c r="AO8" i="20"/>
  <c r="AO201" i="20" s="1"/>
  <c r="AO310" i="20" s="1"/>
  <c r="AN8" i="20"/>
  <c r="AN201" i="20" s="1"/>
  <c r="AN310" i="20" s="1"/>
  <c r="AN309" i="20" s="1"/>
  <c r="AM8" i="20"/>
  <c r="AM201" i="20" s="1"/>
  <c r="AM310" i="20" s="1"/>
  <c r="AL8" i="20"/>
  <c r="AL201" i="20" s="1"/>
  <c r="AL310" i="20" s="1"/>
  <c r="AK8" i="20"/>
  <c r="AK201" i="20" s="1"/>
  <c r="AK310" i="20" s="1"/>
  <c r="AJ8" i="20"/>
  <c r="AJ201" i="20" s="1"/>
  <c r="AJ310" i="20" s="1"/>
  <c r="AH8" i="20"/>
  <c r="AH201" i="20" s="1"/>
  <c r="AH310" i="20" s="1"/>
  <c r="AG8" i="20"/>
  <c r="AG201" i="20" s="1"/>
  <c r="AG310" i="20" s="1"/>
  <c r="AF8" i="20"/>
  <c r="AF201" i="20" s="1"/>
  <c r="AF310" i="20" s="1"/>
  <c r="AE8" i="20"/>
  <c r="AE201" i="20" s="1"/>
  <c r="AE310" i="20" s="1"/>
  <c r="AC8" i="20"/>
  <c r="AC201" i="20" s="1"/>
  <c r="AC310" i="20" s="1"/>
  <c r="AB8" i="20"/>
  <c r="AB201" i="20" s="1"/>
  <c r="AB310" i="20" s="1"/>
  <c r="AA8" i="20"/>
  <c r="AA201" i="20" s="1"/>
  <c r="AA310" i="20" s="1"/>
  <c r="Z8" i="20"/>
  <c r="Z201" i="20" s="1"/>
  <c r="Z310" i="20" s="1"/>
  <c r="Y8" i="20"/>
  <c r="X8" i="20"/>
  <c r="X201" i="20" s="1"/>
  <c r="X310" i="20" s="1"/>
  <c r="U8" i="20"/>
  <c r="U201" i="20" s="1"/>
  <c r="U310" i="20" s="1"/>
  <c r="S8" i="20"/>
  <c r="S201" i="20" s="1"/>
  <c r="S310" i="20" s="1"/>
  <c r="R8" i="20"/>
  <c r="R201" i="20" s="1"/>
  <c r="R310" i="20" s="1"/>
  <c r="Q8" i="20"/>
  <c r="Q201" i="20" s="1"/>
  <c r="Q310" i="20" s="1"/>
  <c r="P8" i="20"/>
  <c r="P201" i="20" s="1"/>
  <c r="P310" i="20" s="1"/>
  <c r="N8" i="20"/>
  <c r="N201" i="20" s="1"/>
  <c r="N310" i="20" s="1"/>
  <c r="M8" i="20"/>
  <c r="M201" i="20" s="1"/>
  <c r="M310" i="20" s="1"/>
  <c r="L8" i="20"/>
  <c r="L201" i="20" s="1"/>
  <c r="L310" i="20" s="1"/>
  <c r="K8" i="20"/>
  <c r="K201" i="20" s="1"/>
  <c r="K310" i="20" s="1"/>
  <c r="I8" i="20"/>
  <c r="I201" i="20" s="1"/>
  <c r="I310" i="20" s="1"/>
  <c r="H8" i="20"/>
  <c r="H201" i="20" s="1"/>
  <c r="H310" i="20" s="1"/>
  <c r="G8" i="20"/>
  <c r="G201" i="20" s="1"/>
  <c r="G310" i="20" s="1"/>
  <c r="F8" i="20"/>
  <c r="F201" i="20" s="1"/>
  <c r="F310" i="20" s="1"/>
  <c r="BU7" i="20"/>
  <c r="BT7" i="20"/>
  <c r="BS7" i="20"/>
  <c r="BS200" i="20" s="1"/>
  <c r="BR7" i="20"/>
  <c r="BO7" i="20"/>
  <c r="BN7" i="20"/>
  <c r="BM7" i="20"/>
  <c r="BK7" i="20"/>
  <c r="BJ7" i="20"/>
  <c r="BJ200" i="20" s="1"/>
  <c r="BI7" i="20"/>
  <c r="BH7" i="20"/>
  <c r="BF7" i="20"/>
  <c r="BE7" i="20"/>
  <c r="BD7" i="20"/>
  <c r="BB7" i="20"/>
  <c r="BA7" i="20"/>
  <c r="AZ7" i="20"/>
  <c r="AY7" i="20"/>
  <c r="AY200" i="20" s="1"/>
  <c r="AR7" i="20"/>
  <c r="AQ7" i="20"/>
  <c r="AQ200" i="20" s="1"/>
  <c r="AP7" i="20"/>
  <c r="AO7" i="20"/>
  <c r="AN7" i="20"/>
  <c r="AM7" i="20"/>
  <c r="AL7" i="20"/>
  <c r="AL200" i="20" s="1"/>
  <c r="AK7" i="20"/>
  <c r="AJ7" i="20"/>
  <c r="AH7" i="20"/>
  <c r="AG7" i="20"/>
  <c r="AF7" i="20"/>
  <c r="AE7" i="20"/>
  <c r="AE200" i="20" s="1"/>
  <c r="AD7" i="20"/>
  <c r="AC7" i="20"/>
  <c r="AB7" i="20"/>
  <c r="AA7" i="20"/>
  <c r="Z7" i="20"/>
  <c r="Z200" i="20" s="1"/>
  <c r="X7" i="20"/>
  <c r="V7" i="20"/>
  <c r="U7" i="20"/>
  <c r="S7" i="20"/>
  <c r="R7" i="20"/>
  <c r="Q7" i="20"/>
  <c r="P7" i="20"/>
  <c r="N7" i="20"/>
  <c r="N200" i="20" s="1"/>
  <c r="M7" i="20"/>
  <c r="L7" i="20"/>
  <c r="K7" i="20"/>
  <c r="K200" i="20" s="1"/>
  <c r="I7" i="20"/>
  <c r="H7" i="20"/>
  <c r="G7" i="20"/>
  <c r="F7" i="20"/>
  <c r="T9" i="20" l="1"/>
  <c r="T7" i="20" s="1"/>
  <c r="AD201" i="20"/>
  <c r="AD310" i="20" s="1"/>
  <c r="E7" i="20"/>
  <c r="AX7" i="20"/>
  <c r="T203" i="20"/>
  <c r="T312" i="20" s="1"/>
  <c r="AX203" i="20"/>
  <c r="AX312" i="20" s="1"/>
  <c r="BC13" i="20"/>
  <c r="BV13" i="20" s="1"/>
  <c r="BC14" i="20"/>
  <c r="BV14" i="20" s="1"/>
  <c r="BC15" i="20"/>
  <c r="BV15" i="20" s="1"/>
  <c r="BC16" i="20"/>
  <c r="BV16" i="20" s="1"/>
  <c r="O203" i="20"/>
  <c r="O312" i="20" s="1"/>
  <c r="AI203" i="20"/>
  <c r="AI312" i="20" s="1"/>
  <c r="BC19" i="20"/>
  <c r="BV19" i="20" s="1"/>
  <c r="BC23" i="20"/>
  <c r="BV23" i="20" s="1"/>
  <c r="BC33" i="20"/>
  <c r="BV33" i="20" s="1"/>
  <c r="BC37" i="20"/>
  <c r="BV37" i="20" s="1"/>
  <c r="BB200" i="20"/>
  <c r="T43" i="20"/>
  <c r="BC45" i="20"/>
  <c r="BV45" i="20" s="1"/>
  <c r="BC49" i="20"/>
  <c r="BV49" i="20" s="1"/>
  <c r="BC53" i="20"/>
  <c r="BV53" i="20" s="1"/>
  <c r="BC58" i="20"/>
  <c r="BV58" i="20" s="1"/>
  <c r="BC60" i="20"/>
  <c r="BV60" i="20" s="1"/>
  <c r="BC62" i="20"/>
  <c r="BV62" i="20" s="1"/>
  <c r="BC64" i="20"/>
  <c r="BV64" i="20" s="1"/>
  <c r="BC66" i="20"/>
  <c r="BV66" i="20" s="1"/>
  <c r="O205" i="20"/>
  <c r="O314" i="20" s="1"/>
  <c r="AM200" i="20"/>
  <c r="Q71" i="20"/>
  <c r="V71" i="20"/>
  <c r="V200" i="20" s="1"/>
  <c r="AA71" i="20"/>
  <c r="J72" i="20"/>
  <c r="J71" i="20" s="1"/>
  <c r="O72" i="20"/>
  <c r="O206" i="20"/>
  <c r="O319" i="20" s="1"/>
  <c r="AD72" i="20"/>
  <c r="BL72" i="20"/>
  <c r="E76" i="20"/>
  <c r="O76" i="20"/>
  <c r="T76" i="20"/>
  <c r="AX76" i="20"/>
  <c r="BC80" i="20"/>
  <c r="BV80" i="20" s="1"/>
  <c r="BC84" i="20"/>
  <c r="BV84" i="20" s="1"/>
  <c r="BC88" i="20"/>
  <c r="BV88" i="20" s="1"/>
  <c r="BC93" i="20"/>
  <c r="BV93" i="20" s="1"/>
  <c r="BC97" i="20"/>
  <c r="BV97" i="20" s="1"/>
  <c r="BC101" i="20"/>
  <c r="BV101" i="20" s="1"/>
  <c r="BC102" i="20"/>
  <c r="BV102" i="20" s="1"/>
  <c r="AX202" i="20"/>
  <c r="AX311" i="20" s="1"/>
  <c r="BC106" i="20"/>
  <c r="BV106" i="20" s="1"/>
  <c r="BQ108" i="20"/>
  <c r="BC111" i="20"/>
  <c r="BV111" i="20" s="1"/>
  <c r="BG108" i="20"/>
  <c r="BC113" i="20"/>
  <c r="BV113" i="20" s="1"/>
  <c r="BC115" i="20"/>
  <c r="BV115" i="20" s="1"/>
  <c r="BC117" i="20"/>
  <c r="BV117" i="20" s="1"/>
  <c r="BC119" i="20"/>
  <c r="BV119" i="20" s="1"/>
  <c r="BC121" i="20"/>
  <c r="BV121" i="20" s="1"/>
  <c r="BC123" i="20"/>
  <c r="BV123" i="20" s="1"/>
  <c r="BC125" i="20"/>
  <c r="BV125" i="20" s="1"/>
  <c r="BC126" i="20"/>
  <c r="BV126" i="20" s="1"/>
  <c r="BC128" i="20"/>
  <c r="E204" i="20"/>
  <c r="E313" i="20" s="1"/>
  <c r="BG204" i="20"/>
  <c r="BG313" i="20" s="1"/>
  <c r="BC130" i="20"/>
  <c r="BV130" i="20" s="1"/>
  <c r="BC134" i="20"/>
  <c r="BV134" i="20" s="1"/>
  <c r="BQ132" i="20"/>
  <c r="BC138" i="20"/>
  <c r="BV138" i="20" s="1"/>
  <c r="AX132" i="20"/>
  <c r="BC142" i="20"/>
  <c r="BV142" i="20" s="1"/>
  <c r="BC144" i="20"/>
  <c r="BV144" i="20" s="1"/>
  <c r="BC146" i="20"/>
  <c r="BV146" i="20" s="1"/>
  <c r="BC148" i="20"/>
  <c r="BV148" i="20" s="1"/>
  <c r="BC151" i="20"/>
  <c r="BV151" i="20" s="1"/>
  <c r="BC153" i="20"/>
  <c r="BV153" i="20" s="1"/>
  <c r="BP158" i="20"/>
  <c r="O158" i="20"/>
  <c r="BC159" i="20"/>
  <c r="J157" i="20"/>
  <c r="BC163" i="20"/>
  <c r="BV163" i="20" s="1"/>
  <c r="BC165" i="20"/>
  <c r="BV165" i="20" s="1"/>
  <c r="BG7" i="20"/>
  <c r="BQ7" i="20"/>
  <c r="BG203" i="20"/>
  <c r="BG312" i="20" s="1"/>
  <c r="BR200" i="20"/>
  <c r="BQ43" i="20"/>
  <c r="AC43" i="20"/>
  <c r="G200" i="20"/>
  <c r="BQ71" i="20"/>
  <c r="BG72" i="20"/>
  <c r="BG71" i="20" s="1"/>
  <c r="Y76" i="20"/>
  <c r="AD205" i="20"/>
  <c r="AD314" i="20" s="1"/>
  <c r="AD108" i="20"/>
  <c r="BL108" i="20"/>
  <c r="BC167" i="20"/>
  <c r="BV167" i="20" s="1"/>
  <c r="BC169" i="20"/>
  <c r="BV169" i="20" s="1"/>
  <c r="BC171" i="20"/>
  <c r="BV171" i="20" s="1"/>
  <c r="BC173" i="20"/>
  <c r="BV173" i="20" s="1"/>
  <c r="BC175" i="20"/>
  <c r="BV175" i="20" s="1"/>
  <c r="BC177" i="20"/>
  <c r="BV177" i="20" s="1"/>
  <c r="Y204" i="20"/>
  <c r="Y313" i="20" s="1"/>
  <c r="T179" i="20"/>
  <c r="BC185" i="20"/>
  <c r="BV185" i="20" s="1"/>
  <c r="BC190" i="20"/>
  <c r="BV190" i="20" s="1"/>
  <c r="BC194" i="20"/>
  <c r="BV194" i="20" s="1"/>
  <c r="AF319" i="20"/>
  <c r="AF309" i="20" s="1"/>
  <c r="I207" i="20"/>
  <c r="I315" i="20" s="1"/>
  <c r="AU255" i="20"/>
  <c r="BS255" i="20"/>
  <c r="O258" i="20"/>
  <c r="AI258" i="20"/>
  <c r="E259" i="20"/>
  <c r="AX259" i="20"/>
  <c r="BC252" i="20"/>
  <c r="BV252" i="20" s="1"/>
  <c r="BC253" i="20"/>
  <c r="BC254" i="20"/>
  <c r="BV254" i="20" s="1"/>
  <c r="I257" i="20"/>
  <c r="I317" i="20" s="1"/>
  <c r="Q257" i="20"/>
  <c r="Q317" i="20" s="1"/>
  <c r="AC257" i="20"/>
  <c r="AC317" i="20" s="1"/>
  <c r="AK257" i="20"/>
  <c r="AK317" i="20" s="1"/>
  <c r="AO257" i="20"/>
  <c r="AO317" i="20" s="1"/>
  <c r="AO309" i="20" s="1"/>
  <c r="N280" i="20"/>
  <c r="V280" i="20"/>
  <c r="AL280" i="20"/>
  <c r="BN280" i="20"/>
  <c r="R306" i="20"/>
  <c r="R323" i="20" s="1"/>
  <c r="R304" i="20"/>
  <c r="AH306" i="20"/>
  <c r="AH323" i="20" s="1"/>
  <c r="AH304" i="20"/>
  <c r="AX306" i="20"/>
  <c r="AX323" i="20" s="1"/>
  <c r="T285" i="20"/>
  <c r="K306" i="20"/>
  <c r="K323" i="20" s="1"/>
  <c r="AX289" i="20"/>
  <c r="O289" i="20"/>
  <c r="E295" i="20"/>
  <c r="BE305" i="20"/>
  <c r="BE322" i="20" s="1"/>
  <c r="BE304" i="20"/>
  <c r="BS319" i="20"/>
  <c r="T209" i="20"/>
  <c r="AS209" i="20"/>
  <c r="BQ209" i="20"/>
  <c r="BC212" i="20"/>
  <c r="BV212" i="20" s="1"/>
  <c r="BC218" i="20"/>
  <c r="BV218" i="20" s="1"/>
  <c r="BC222" i="20"/>
  <c r="BV222" i="20" s="1"/>
  <c r="BC226" i="20"/>
  <c r="BV226" i="20" s="1"/>
  <c r="K255" i="20"/>
  <c r="S255" i="20"/>
  <c r="BK255" i="20"/>
  <c r="AS228" i="20"/>
  <c r="O256" i="20"/>
  <c r="O316" i="20" s="1"/>
  <c r="AX228" i="20"/>
  <c r="BC232" i="20"/>
  <c r="BV232" i="20" s="1"/>
  <c r="AX227" i="20"/>
  <c r="BC234" i="20"/>
  <c r="BV234" i="20" s="1"/>
  <c r="J227" i="20"/>
  <c r="BC237" i="20"/>
  <c r="BV237" i="20" s="1"/>
  <c r="BC238" i="20"/>
  <c r="BV238" i="20" s="1"/>
  <c r="J258" i="20"/>
  <c r="AD258" i="20"/>
  <c r="BC241" i="20"/>
  <c r="BV241" i="20" s="1"/>
  <c r="BC242" i="20"/>
  <c r="BV242" i="20" s="1"/>
  <c r="BQ259" i="20"/>
  <c r="BC246" i="20"/>
  <c r="BV246" i="20" s="1"/>
  <c r="AU257" i="20"/>
  <c r="AU317" i="20" s="1"/>
  <c r="AZ257" i="20"/>
  <c r="AZ317" i="20" s="1"/>
  <c r="BR257" i="20"/>
  <c r="BR317" i="20" s="1"/>
  <c r="M257" i="20"/>
  <c r="M317" i="20" s="1"/>
  <c r="AG257" i="20"/>
  <c r="AG317" i="20" s="1"/>
  <c r="AR257" i="20"/>
  <c r="AR317" i="20" s="1"/>
  <c r="AR309" i="20" s="1"/>
  <c r="BA257" i="20"/>
  <c r="BA317" i="20" s="1"/>
  <c r="BH257" i="20"/>
  <c r="BH317" i="20" s="1"/>
  <c r="BG317" i="20" s="1"/>
  <c r="N319" i="20"/>
  <c r="AA280" i="20"/>
  <c r="AC280" i="20"/>
  <c r="AY280" i="20"/>
  <c r="BA280" i="20"/>
  <c r="BD280" i="20"/>
  <c r="BQ264" i="20"/>
  <c r="BQ280" i="20" s="1"/>
  <c r="AD264" i="20"/>
  <c r="BL282" i="20"/>
  <c r="BL320" i="20" s="1"/>
  <c r="E264" i="20"/>
  <c r="T264" i="20"/>
  <c r="AX282" i="20"/>
  <c r="AX320" i="20" s="1"/>
  <c r="F280" i="20"/>
  <c r="T270" i="20"/>
  <c r="AX270" i="20"/>
  <c r="AX280" i="20" s="1"/>
  <c r="BC272" i="20"/>
  <c r="BV272" i="20" s="1"/>
  <c r="E270" i="20"/>
  <c r="Y270" i="20"/>
  <c r="BM283" i="20"/>
  <c r="BM321" i="20" s="1"/>
  <c r="BL279" i="20"/>
  <c r="BL283" i="20" s="1"/>
  <c r="BL321" i="20" s="1"/>
  <c r="BG321" i="20"/>
  <c r="V306" i="20"/>
  <c r="V323" i="20" s="1"/>
  <c r="BA304" i="20"/>
  <c r="U304" i="20"/>
  <c r="AF306" i="20"/>
  <c r="AF323" i="20" s="1"/>
  <c r="BO301" i="20"/>
  <c r="BO299" i="20" s="1"/>
  <c r="BO305" i="20" s="1"/>
  <c r="BO322" i="20" s="1"/>
  <c r="H299" i="20"/>
  <c r="H305" i="20" s="1"/>
  <c r="H322" i="20" s="1"/>
  <c r="I302" i="20"/>
  <c r="BP302" i="20" s="1"/>
  <c r="BP307" i="20" s="1"/>
  <c r="BP324" i="20" s="1"/>
  <c r="AM307" i="20"/>
  <c r="AM324" i="20" s="1"/>
  <c r="J281" i="20"/>
  <c r="T281" i="20"/>
  <c r="T319" i="20" s="1"/>
  <c r="V281" i="20"/>
  <c r="X281" i="20"/>
  <c r="X319" i="20" s="1"/>
  <c r="Z281" i="20"/>
  <c r="AB281" i="20"/>
  <c r="AB319" i="20" s="1"/>
  <c r="AL281" i="20"/>
  <c r="BE281" i="20"/>
  <c r="BE280" i="20" s="1"/>
  <c r="BU281" i="20"/>
  <c r="BL281" i="20"/>
  <c r="BO280" i="20"/>
  <c r="BC278" i="20"/>
  <c r="N306" i="20"/>
  <c r="N323" i="20" s="1"/>
  <c r="AJ306" i="20"/>
  <c r="AJ323" i="20" s="1"/>
  <c r="BN306" i="20"/>
  <c r="BN323" i="20" s="1"/>
  <c r="O285" i="20"/>
  <c r="O306" i="20" s="1"/>
  <c r="O323" i="20" s="1"/>
  <c r="AI285" i="20"/>
  <c r="BG285" i="20"/>
  <c r="BC288" i="20"/>
  <c r="BV288" i="20" s="1"/>
  <c r="AE306" i="20"/>
  <c r="AE323" i="20" s="1"/>
  <c r="BK306" i="20"/>
  <c r="BK323" i="20" s="1"/>
  <c r="BC292" i="20"/>
  <c r="BV292" i="20" s="1"/>
  <c r="BC294" i="20"/>
  <c r="BV294" i="20" s="1"/>
  <c r="P306" i="20"/>
  <c r="P323" i="20" s="1"/>
  <c r="O295" i="20"/>
  <c r="AI295" i="20"/>
  <c r="BG295" i="20"/>
  <c r="BC298" i="20"/>
  <c r="BV298" i="20" s="1"/>
  <c r="BQ299" i="20"/>
  <c r="BQ305" i="20" s="1"/>
  <c r="BQ322" i="20" s="1"/>
  <c r="BP7" i="20"/>
  <c r="BL23" i="20"/>
  <c r="BL7" i="20" s="1"/>
  <c r="AH203" i="20"/>
  <c r="AH312" i="20" s="1"/>
  <c r="AD95" i="20"/>
  <c r="BC95" i="20" s="1"/>
  <c r="BV95" i="20" s="1"/>
  <c r="BQ178" i="20"/>
  <c r="BQ200" i="20" s="1"/>
  <c r="BQ179" i="20"/>
  <c r="J209" i="20"/>
  <c r="J255" i="20" s="1"/>
  <c r="J256" i="20"/>
  <c r="J316" i="20" s="1"/>
  <c r="BC210" i="20"/>
  <c r="AI228" i="20"/>
  <c r="AI256" i="20"/>
  <c r="AI316" i="20" s="1"/>
  <c r="AI227" i="20"/>
  <c r="AI255" i="20" s="1"/>
  <c r="BL256" i="20"/>
  <c r="BL316" i="20" s="1"/>
  <c r="Q200" i="20"/>
  <c r="T8" i="20"/>
  <c r="T201" i="20" s="1"/>
  <c r="T310" i="20" s="1"/>
  <c r="BC11" i="20"/>
  <c r="BV11" i="20" s="1"/>
  <c r="BC12" i="20"/>
  <c r="BC38" i="20"/>
  <c r="J108" i="20"/>
  <c r="AI132" i="20"/>
  <c r="AD158" i="20"/>
  <c r="AD157" i="20"/>
  <c r="AX179" i="20"/>
  <c r="AX178" i="20"/>
  <c r="O255" i="20"/>
  <c r="BC211" i="20"/>
  <c r="BV211" i="20" s="1"/>
  <c r="T257" i="20"/>
  <c r="T317" i="20" s="1"/>
  <c r="T280" i="20"/>
  <c r="BK281" i="20"/>
  <c r="BK319" i="20" s="1"/>
  <c r="BK280" i="20"/>
  <c r="M200" i="20"/>
  <c r="R200" i="20"/>
  <c r="AK200" i="20"/>
  <c r="AO200" i="20"/>
  <c r="BF200" i="20"/>
  <c r="AX201" i="20"/>
  <c r="AX310" i="20" s="1"/>
  <c r="J201" i="20"/>
  <c r="J310" i="20" s="1"/>
  <c r="W7" i="20"/>
  <c r="W200" i="20" s="1"/>
  <c r="W8" i="20"/>
  <c r="W201" i="20" s="1"/>
  <c r="W310" i="20" s="1"/>
  <c r="BC10" i="20"/>
  <c r="BV10" i="20" s="1"/>
  <c r="BC24" i="20"/>
  <c r="BV24" i="20" s="1"/>
  <c r="BC26" i="20"/>
  <c r="BV26" i="20" s="1"/>
  <c r="BC28" i="20"/>
  <c r="BV28" i="20" s="1"/>
  <c r="BC30" i="20"/>
  <c r="BV30" i="20" s="1"/>
  <c r="BC32" i="20"/>
  <c r="BV32" i="20" s="1"/>
  <c r="BC36" i="20"/>
  <c r="BV36" i="20" s="1"/>
  <c r="BC39" i="20"/>
  <c r="J43" i="20"/>
  <c r="AD43" i="20"/>
  <c r="BC47" i="20"/>
  <c r="BV47" i="20" s="1"/>
  <c r="BC51" i="20"/>
  <c r="BV51" i="20" s="1"/>
  <c r="BC55" i="20"/>
  <c r="BV55" i="20" s="1"/>
  <c r="F71" i="20"/>
  <c r="F200" i="20" s="1"/>
  <c r="AH71" i="20"/>
  <c r="AH200" i="20" s="1"/>
  <c r="T72" i="20"/>
  <c r="T71" i="20" s="1"/>
  <c r="BL206" i="20"/>
  <c r="BL319" i="20" s="1"/>
  <c r="AI76" i="20"/>
  <c r="AI71" i="20" s="1"/>
  <c r="BC92" i="20"/>
  <c r="BV92" i="20" s="1"/>
  <c r="T108" i="20"/>
  <c r="T132" i="20"/>
  <c r="BC155" i="20"/>
  <c r="BV155" i="20" s="1"/>
  <c r="BL157" i="20"/>
  <c r="AI158" i="20"/>
  <c r="AI157" i="20"/>
  <c r="BC181" i="20"/>
  <c r="BV181" i="20" s="1"/>
  <c r="BG178" i="20"/>
  <c r="G255" i="20"/>
  <c r="BB255" i="20"/>
  <c r="BC221" i="20"/>
  <c r="BV221" i="20" s="1"/>
  <c r="BP228" i="20"/>
  <c r="BL258" i="20"/>
  <c r="O259" i="20"/>
  <c r="O257" i="20" s="1"/>
  <c r="O317" i="20" s="1"/>
  <c r="AI259" i="20"/>
  <c r="AI257" i="20" s="1"/>
  <c r="AI317" i="20" s="1"/>
  <c r="BV251" i="20"/>
  <c r="BV253" i="20"/>
  <c r="O282" i="20"/>
  <c r="O320" i="20" s="1"/>
  <c r="O264" i="20"/>
  <c r="O280" i="20" s="1"/>
  <c r="AI282" i="20"/>
  <c r="AI320" i="20" s="1"/>
  <c r="AI264" i="20"/>
  <c r="AI280" i="20" s="1"/>
  <c r="BV128" i="20"/>
  <c r="AD209" i="20"/>
  <c r="AD256" i="20"/>
  <c r="AD316" i="20" s="1"/>
  <c r="BC274" i="20"/>
  <c r="BV274" i="20" s="1"/>
  <c r="AA200" i="20"/>
  <c r="BC9" i="20"/>
  <c r="AI7" i="20"/>
  <c r="AI8" i="20"/>
  <c r="AI201" i="20" s="1"/>
  <c r="AI310" i="20" s="1"/>
  <c r="T205" i="20"/>
  <c r="T314" i="20" s="1"/>
  <c r="BG43" i="20"/>
  <c r="BP56" i="20"/>
  <c r="Y56" i="20"/>
  <c r="BC56" i="20" s="1"/>
  <c r="BV56" i="20" s="1"/>
  <c r="BC57" i="20"/>
  <c r="BV57" i="20" s="1"/>
  <c r="BC61" i="20"/>
  <c r="BV61" i="20" s="1"/>
  <c r="BC65" i="20"/>
  <c r="BV65" i="20" s="1"/>
  <c r="BC110" i="20"/>
  <c r="BV110" i="20" s="1"/>
  <c r="O132" i="20"/>
  <c r="BC139" i="20"/>
  <c r="BV139" i="20" s="1"/>
  <c r="BV159" i="20"/>
  <c r="E179" i="20"/>
  <c r="E178" i="20"/>
  <c r="BC180" i="20"/>
  <c r="BG209" i="20"/>
  <c r="S200" i="20"/>
  <c r="AC200" i="20"/>
  <c r="AG200" i="20"/>
  <c r="AP200" i="20"/>
  <c r="BK200" i="20"/>
  <c r="BL8" i="20"/>
  <c r="BL201" i="20" s="1"/>
  <c r="BL310" i="20" s="1"/>
  <c r="O7" i="20"/>
  <c r="O8" i="20"/>
  <c r="O201" i="20" s="1"/>
  <c r="O310" i="20" s="1"/>
  <c r="BG8" i="20"/>
  <c r="BG201" i="20" s="1"/>
  <c r="BG310" i="20" s="1"/>
  <c r="BC35" i="20"/>
  <c r="BV35" i="20" s="1"/>
  <c r="J205" i="20"/>
  <c r="J314" i="20" s="1"/>
  <c r="BC40" i="20"/>
  <c r="BV40" i="20" s="1"/>
  <c r="O43" i="20"/>
  <c r="AI43" i="20"/>
  <c r="BC67" i="20"/>
  <c r="BV67" i="20" s="1"/>
  <c r="BC69" i="20"/>
  <c r="BV69" i="20" s="1"/>
  <c r="BN72" i="20"/>
  <c r="BN71" i="20" s="1"/>
  <c r="BN200" i="20" s="1"/>
  <c r="U71" i="20"/>
  <c r="U200" i="20" s="1"/>
  <c r="E73" i="20"/>
  <c r="E201" i="20" s="1"/>
  <c r="E310" i="20" s="1"/>
  <c r="I72" i="20"/>
  <c r="Y73" i="20"/>
  <c r="Y72" i="20" s="1"/>
  <c r="AX72" i="20"/>
  <c r="AX71" i="20" s="1"/>
  <c r="AI319" i="20"/>
  <c r="BQ206" i="20"/>
  <c r="BC78" i="20"/>
  <c r="BV78" i="20" s="1"/>
  <c r="BC82" i="20"/>
  <c r="BV82" i="20" s="1"/>
  <c r="BC86" i="20"/>
  <c r="BV86" i="20" s="1"/>
  <c r="BP90" i="20"/>
  <c r="BL90" i="20" s="1"/>
  <c r="BL71" i="20" s="1"/>
  <c r="Y90" i="20"/>
  <c r="BC90" i="20" s="1"/>
  <c r="BV90" i="20" s="1"/>
  <c r="BC91" i="20"/>
  <c r="BV91" i="20" s="1"/>
  <c r="BC99" i="20"/>
  <c r="BV99" i="20" s="1"/>
  <c r="BC104" i="20"/>
  <c r="BV104" i="20" s="1"/>
  <c r="E108" i="20"/>
  <c r="Y109" i="20"/>
  <c r="Y108" i="20" s="1"/>
  <c r="AX108" i="20"/>
  <c r="AX204" i="20"/>
  <c r="AX313" i="20" s="1"/>
  <c r="BV135" i="20"/>
  <c r="O178" i="20"/>
  <c r="AI178" i="20"/>
  <c r="AS315" i="20"/>
  <c r="AS200" i="20"/>
  <c r="AW315" i="20"/>
  <c r="AW200" i="20"/>
  <c r="BC229" i="20"/>
  <c r="BG256" i="20"/>
  <c r="BG316" i="20" s="1"/>
  <c r="BG228" i="20"/>
  <c r="BG227" i="20"/>
  <c r="AD227" i="20"/>
  <c r="BC230" i="20"/>
  <c r="BG257" i="20"/>
  <c r="AD261" i="20"/>
  <c r="Y280" i="20"/>
  <c r="E280" i="20"/>
  <c r="Y282" i="20"/>
  <c r="Y320" i="20" s="1"/>
  <c r="BG281" i="20"/>
  <c r="BJ280" i="20"/>
  <c r="G306" i="20"/>
  <c r="G323" i="20" s="1"/>
  <c r="G309" i="20" s="1"/>
  <c r="L304" i="20"/>
  <c r="L306" i="20"/>
  <c r="L323" i="20" s="1"/>
  <c r="Q306" i="20"/>
  <c r="Q323" i="20" s="1"/>
  <c r="Q304" i="20"/>
  <c r="AE304" i="20"/>
  <c r="AJ304" i="20"/>
  <c r="BB304" i="20"/>
  <c r="BB306" i="20"/>
  <c r="BB323" i="20" s="1"/>
  <c r="AV309" i="20"/>
  <c r="AS258" i="20"/>
  <c r="BQ258" i="20"/>
  <c r="BQ257" i="20" s="1"/>
  <c r="BQ317" i="20" s="1"/>
  <c r="H280" i="20"/>
  <c r="BI280" i="20"/>
  <c r="BG270" i="20"/>
  <c r="BC276" i="20"/>
  <c r="AD276" i="20"/>
  <c r="AD275" i="20" s="1"/>
  <c r="AD281" i="20" s="1"/>
  <c r="AH275" i="20"/>
  <c r="AH281" i="20" s="1"/>
  <c r="BL300" i="20"/>
  <c r="F307" i="20"/>
  <c r="F324" i="20" s="1"/>
  <c r="BM302" i="20"/>
  <c r="H200" i="20"/>
  <c r="L200" i="20"/>
  <c r="P200" i="20"/>
  <c r="X200" i="20"/>
  <c r="AB200" i="20"/>
  <c r="AF200" i="20"/>
  <c r="AJ200" i="20"/>
  <c r="AN200" i="20"/>
  <c r="AR200" i="20"/>
  <c r="BA200" i="20"/>
  <c r="BE200" i="20"/>
  <c r="BI200" i="20"/>
  <c r="BM200" i="20"/>
  <c r="BU200" i="20"/>
  <c r="K309" i="20"/>
  <c r="AA309" i="20"/>
  <c r="BS309" i="20"/>
  <c r="AC203" i="20"/>
  <c r="AC312" i="20" s="1"/>
  <c r="T202" i="20"/>
  <c r="T311" i="20" s="1"/>
  <c r="BL205" i="20"/>
  <c r="BL314" i="20" s="1"/>
  <c r="BC44" i="20"/>
  <c r="BO72" i="20"/>
  <c r="BO71" i="20" s="1"/>
  <c r="BO200" i="20" s="1"/>
  <c r="J206" i="20"/>
  <c r="J319" i="20" s="1"/>
  <c r="AD206" i="20"/>
  <c r="AD319" i="20" s="1"/>
  <c r="O204" i="20"/>
  <c r="O313" i="20" s="1"/>
  <c r="AI204" i="20"/>
  <c r="AI313" i="20" s="1"/>
  <c r="AD132" i="20"/>
  <c r="BL132" i="20"/>
  <c r="BC136" i="20"/>
  <c r="BV136" i="20" s="1"/>
  <c r="BC143" i="20"/>
  <c r="BV143" i="20" s="1"/>
  <c r="BC147" i="20"/>
  <c r="BV147" i="20" s="1"/>
  <c r="BC152" i="20"/>
  <c r="BV152" i="20" s="1"/>
  <c r="BL158" i="20"/>
  <c r="BC160" i="20"/>
  <c r="BV160" i="20" s="1"/>
  <c r="BG158" i="20"/>
  <c r="BG157" i="20"/>
  <c r="BC164" i="20"/>
  <c r="BV164" i="20" s="1"/>
  <c r="BC168" i="20"/>
  <c r="BV168" i="20" s="1"/>
  <c r="BC172" i="20"/>
  <c r="BV172" i="20" s="1"/>
  <c r="BC176" i="20"/>
  <c r="BV176" i="20" s="1"/>
  <c r="BC182" i="20"/>
  <c r="BV182" i="20" s="1"/>
  <c r="BC186" i="20"/>
  <c r="BV186" i="20" s="1"/>
  <c r="BC199" i="20"/>
  <c r="H319" i="20"/>
  <c r="AE319" i="20"/>
  <c r="AE309" i="20" s="1"/>
  <c r="AM319" i="20"/>
  <c r="AQ319" i="20"/>
  <c r="AQ309" i="20" s="1"/>
  <c r="AU319" i="20"/>
  <c r="AU309" i="20" s="1"/>
  <c r="AZ319" i="20"/>
  <c r="AZ309" i="20" s="1"/>
  <c r="BD319" i="20"/>
  <c r="BD309" i="20" s="1"/>
  <c r="BP319" i="20"/>
  <c r="F255" i="20"/>
  <c r="BE255" i="20"/>
  <c r="BN255" i="20"/>
  <c r="E209" i="20"/>
  <c r="AX209" i="20"/>
  <c r="AX255" i="20" s="1"/>
  <c r="Y214" i="20"/>
  <c r="Y209" i="20" s="1"/>
  <c r="AC209" i="20"/>
  <c r="AC255" i="20" s="1"/>
  <c r="E261" i="20"/>
  <c r="E227" i="20"/>
  <c r="Y261" i="20"/>
  <c r="BQ261" i="20"/>
  <c r="BQ227" i="20"/>
  <c r="BQ255" i="20" s="1"/>
  <c r="BL233" i="20"/>
  <c r="BL227" i="20" s="1"/>
  <c r="BP227" i="20"/>
  <c r="BC236" i="20"/>
  <c r="BV236" i="20" s="1"/>
  <c r="BC244" i="20"/>
  <c r="BV244" i="20" s="1"/>
  <c r="J259" i="20"/>
  <c r="J257" i="20" s="1"/>
  <c r="J317" i="20" s="1"/>
  <c r="AD259" i="20"/>
  <c r="AD257" i="20" s="1"/>
  <c r="AD317" i="20" s="1"/>
  <c r="BC245" i="20"/>
  <c r="BC249" i="20"/>
  <c r="AS257" i="20"/>
  <c r="AS317" i="20" s="1"/>
  <c r="AX261" i="20"/>
  <c r="AX319" i="20" s="1"/>
  <c r="P280" i="20"/>
  <c r="X280" i="20"/>
  <c r="AB280" i="20"/>
  <c r="AG280" i="20"/>
  <c r="J282" i="20"/>
  <c r="J320" i="20" s="1"/>
  <c r="J264" i="20"/>
  <c r="J280" i="20" s="1"/>
  <c r="BC268" i="20"/>
  <c r="BV268" i="20" s="1"/>
  <c r="AY281" i="20"/>
  <c r="BR281" i="20"/>
  <c r="G280" i="20"/>
  <c r="W280" i="20"/>
  <c r="AM280" i="20"/>
  <c r="AD282" i="20"/>
  <c r="AD320" i="20" s="1"/>
  <c r="U306" i="20"/>
  <c r="U323" i="20" s="1"/>
  <c r="AC306" i="20"/>
  <c r="AC323" i="20" s="1"/>
  <c r="AM306" i="20"/>
  <c r="AM323" i="20" s="1"/>
  <c r="BI306" i="20"/>
  <c r="BI323" i="20" s="1"/>
  <c r="BI304" i="20"/>
  <c r="BQ306" i="20"/>
  <c r="BQ323" i="20" s="1"/>
  <c r="BQ304" i="20"/>
  <c r="BC287" i="20"/>
  <c r="BV287" i="20" s="1"/>
  <c r="T304" i="20"/>
  <c r="T306" i="20"/>
  <c r="T323" i="20" s="1"/>
  <c r="BJ305" i="20"/>
  <c r="BJ322" i="20" s="1"/>
  <c r="BJ304" i="20"/>
  <c r="BR305" i="20"/>
  <c r="BR322" i="20" s="1"/>
  <c r="BR304" i="20"/>
  <c r="BF304" i="20"/>
  <c r="BC248" i="20"/>
  <c r="BV248" i="20" s="1"/>
  <c r="M280" i="20"/>
  <c r="BC266" i="20"/>
  <c r="BV266" i="20" s="1"/>
  <c r="BC271" i="20"/>
  <c r="H306" i="20"/>
  <c r="H323" i="20" s="1"/>
  <c r="AZ200" i="20"/>
  <c r="BD200" i="20"/>
  <c r="BH200" i="20"/>
  <c r="BT200" i="20"/>
  <c r="N309" i="20"/>
  <c r="J203" i="20"/>
  <c r="J312" i="20" s="1"/>
  <c r="E203" i="20"/>
  <c r="E312" i="20" s="1"/>
  <c r="BC17" i="20"/>
  <c r="BV17" i="20" s="1"/>
  <c r="Y21" i="20"/>
  <c r="Y7" i="20" s="1"/>
  <c r="BL202" i="20"/>
  <c r="BL311" i="20" s="1"/>
  <c r="BG205" i="20"/>
  <c r="BG314" i="20" s="1"/>
  <c r="BC74" i="20"/>
  <c r="BC103" i="20"/>
  <c r="BV103" i="20" s="1"/>
  <c r="BC114" i="20"/>
  <c r="BV114" i="20" s="1"/>
  <c r="BC118" i="20"/>
  <c r="BV118" i="20" s="1"/>
  <c r="BC122" i="20"/>
  <c r="BV122" i="20" s="1"/>
  <c r="BC127" i="20"/>
  <c r="BV127" i="20" s="1"/>
  <c r="J204" i="20"/>
  <c r="J313" i="20" s="1"/>
  <c r="AD204" i="20"/>
  <c r="AD313" i="20" s="1"/>
  <c r="BC133" i="20"/>
  <c r="BG132" i="20"/>
  <c r="J132" i="20"/>
  <c r="BC137" i="20"/>
  <c r="BV137" i="20" s="1"/>
  <c r="E157" i="20"/>
  <c r="Y157" i="20"/>
  <c r="BC161" i="20"/>
  <c r="BV161" i="20" s="1"/>
  <c r="J178" i="20"/>
  <c r="AD178" i="20"/>
  <c r="BC183" i="20"/>
  <c r="BV183" i="20" s="1"/>
  <c r="BP187" i="20"/>
  <c r="Y187" i="20"/>
  <c r="BC187" i="20" s="1"/>
  <c r="BV187" i="20" s="1"/>
  <c r="BC188" i="20"/>
  <c r="BV188" i="20" s="1"/>
  <c r="BC192" i="20"/>
  <c r="BV192" i="20" s="1"/>
  <c r="BC196" i="20"/>
  <c r="BV196" i="20" s="1"/>
  <c r="L319" i="20"/>
  <c r="L309" i="20" s="1"/>
  <c r="P319" i="20"/>
  <c r="P309" i="20" s="1"/>
  <c r="AY319" i="20"/>
  <c r="BO319" i="20"/>
  <c r="BT319" i="20"/>
  <c r="N255" i="20"/>
  <c r="R255" i="20"/>
  <c r="AT255" i="20"/>
  <c r="BP214" i="20"/>
  <c r="BP257" i="20" s="1"/>
  <c r="BP317" i="20" s="1"/>
  <c r="BC216" i="20"/>
  <c r="BV216" i="20" s="1"/>
  <c r="BC220" i="20"/>
  <c r="BV220" i="20" s="1"/>
  <c r="BC224" i="20"/>
  <c r="BV224" i="20" s="1"/>
  <c r="BL228" i="20"/>
  <c r="T256" i="20"/>
  <c r="T316" i="20" s="1"/>
  <c r="T227" i="20"/>
  <c r="T255" i="20" s="1"/>
  <c r="AS227" i="20"/>
  <c r="AS255" i="20" s="1"/>
  <c r="BC231" i="20"/>
  <c r="BV231" i="20" s="1"/>
  <c r="E258" i="20"/>
  <c r="E257" i="20" s="1"/>
  <c r="E317" i="20" s="1"/>
  <c r="Y258" i="20"/>
  <c r="AX258" i="20"/>
  <c r="AX257" i="20" s="1"/>
  <c r="AX317" i="20" s="1"/>
  <c r="AW257" i="20"/>
  <c r="AW317" i="20" s="1"/>
  <c r="AW309" i="20" s="1"/>
  <c r="I280" i="20"/>
  <c r="AF280" i="20"/>
  <c r="AK280" i="20"/>
  <c r="BC265" i="20"/>
  <c r="BG282" i="20"/>
  <c r="BG264" i="20"/>
  <c r="BC269" i="20"/>
  <c r="BV269" i="20" s="1"/>
  <c r="BL270" i="20"/>
  <c r="BL280" i="20" s="1"/>
  <c r="AJ281" i="20"/>
  <c r="AJ319" i="20" s="1"/>
  <c r="AJ309" i="20" s="1"/>
  <c r="AX281" i="20"/>
  <c r="BB281" i="20"/>
  <c r="BB319" i="20" s="1"/>
  <c r="BB309" i="20" s="1"/>
  <c r="BQ281" i="20"/>
  <c r="BH306" i="20"/>
  <c r="BH323" i="20" s="1"/>
  <c r="BH309" i="20" s="1"/>
  <c r="BH330" i="20" s="1"/>
  <c r="BH304" i="20"/>
  <c r="BL306" i="20"/>
  <c r="BL323" i="20" s="1"/>
  <c r="BP306" i="20"/>
  <c r="BP323" i="20" s="1"/>
  <c r="BP304" i="20"/>
  <c r="BT306" i="20"/>
  <c r="BT323" i="20" s="1"/>
  <c r="BT304" i="20"/>
  <c r="O304" i="20"/>
  <c r="AI306" i="20"/>
  <c r="AI323" i="20" s="1"/>
  <c r="AI304" i="20"/>
  <c r="E301" i="20"/>
  <c r="F299" i="20"/>
  <c r="BM301" i="20"/>
  <c r="BL301" i="20" s="1"/>
  <c r="G307" i="20"/>
  <c r="G324" i="20" s="1"/>
  <c r="BN302" i="20"/>
  <c r="M304" i="20"/>
  <c r="BU304" i="20"/>
  <c r="Y140" i="20"/>
  <c r="Y132" i="20" s="1"/>
  <c r="BF309" i="20"/>
  <c r="AK319" i="20"/>
  <c r="AK309" i="20" s="1"/>
  <c r="AS319" i="20"/>
  <c r="BA319" i="20"/>
  <c r="BE319" i="20"/>
  <c r="BE309" i="20" s="1"/>
  <c r="BI319" i="20"/>
  <c r="BM319" i="20"/>
  <c r="BU319" i="20"/>
  <c r="BU309" i="20" s="1"/>
  <c r="Y233" i="20"/>
  <c r="BC233" i="20" s="1"/>
  <c r="BV233" i="20" s="1"/>
  <c r="T282" i="20"/>
  <c r="T320" i="20" s="1"/>
  <c r="E281" i="20"/>
  <c r="E319" i="20" s="1"/>
  <c r="I281" i="20"/>
  <c r="I319" i="20" s="1"/>
  <c r="M281" i="20"/>
  <c r="M319" i="20" s="1"/>
  <c r="M309" i="20" s="1"/>
  <c r="Q281" i="20"/>
  <c r="Q319" i="20" s="1"/>
  <c r="Q309" i="20" s="1"/>
  <c r="U281" i="20"/>
  <c r="U319" i="20" s="1"/>
  <c r="U309" i="20" s="1"/>
  <c r="Y281" i="20"/>
  <c r="AC281" i="20"/>
  <c r="AC319" i="20" s="1"/>
  <c r="AG281" i="20"/>
  <c r="AG319" i="20" s="1"/>
  <c r="AG309" i="20" s="1"/>
  <c r="AK281" i="20"/>
  <c r="BC279" i="20"/>
  <c r="E282" i="20"/>
  <c r="E320" i="20" s="1"/>
  <c r="I306" i="20"/>
  <c r="I323" i="20" s="1"/>
  <c r="S306" i="20"/>
  <c r="S323" i="20" s="1"/>
  <c r="S309" i="20" s="1"/>
  <c r="W306" i="20"/>
  <c r="W323" i="20" s="1"/>
  <c r="AA304" i="20"/>
  <c r="AF304" i="20"/>
  <c r="AK306" i="20"/>
  <c r="AK323" i="20" s="1"/>
  <c r="AY306" i="20"/>
  <c r="AY323" i="20" s="1"/>
  <c r="AY304" i="20"/>
  <c r="BC286" i="20"/>
  <c r="BG306" i="20"/>
  <c r="BG323" i="20" s="1"/>
  <c r="BG304" i="20"/>
  <c r="E289" i="20"/>
  <c r="Y289" i="20"/>
  <c r="Y304" i="20" s="1"/>
  <c r="BC290" i="20"/>
  <c r="BC300" i="20"/>
  <c r="AL307" i="20"/>
  <c r="AL324" i="20" s="1"/>
  <c r="H302" i="20"/>
  <c r="E302" i="20" s="1"/>
  <c r="AL304" i="20"/>
  <c r="I307" i="20"/>
  <c r="I324" i="20" s="1"/>
  <c r="F319" i="20"/>
  <c r="R319" i="20"/>
  <c r="R309" i="20" s="1"/>
  <c r="V319" i="20"/>
  <c r="V309" i="20" s="1"/>
  <c r="Z319" i="20"/>
  <c r="Z309" i="20" s="1"/>
  <c r="AH319" i="20"/>
  <c r="AH309" i="20" s="1"/>
  <c r="AL319" i="20"/>
  <c r="AP319" i="20"/>
  <c r="AP309" i="20" s="1"/>
  <c r="AT319" i="20"/>
  <c r="AT309" i="20" s="1"/>
  <c r="BF319" i="20"/>
  <c r="BJ319" i="20"/>
  <c r="BJ309" i="20" s="1"/>
  <c r="BJ330" i="20" s="1"/>
  <c r="BN319" i="20"/>
  <c r="BR319" i="20"/>
  <c r="BR309" i="20" s="1"/>
  <c r="BC240" i="20"/>
  <c r="BC250" i="20"/>
  <c r="BS280" i="20"/>
  <c r="K304" i="20"/>
  <c r="P304" i="20"/>
  <c r="X306" i="20"/>
  <c r="X323" i="20" s="1"/>
  <c r="X309" i="20" s="1"/>
  <c r="X304" i="20"/>
  <c r="AB304" i="20"/>
  <c r="AB306" i="20"/>
  <c r="AB323" i="20" s="1"/>
  <c r="AG306" i="20"/>
  <c r="AG323" i="20" s="1"/>
  <c r="BK304" i="20"/>
  <c r="J289" i="20"/>
  <c r="J304" i="20" s="1"/>
  <c r="AD289" i="20"/>
  <c r="AD306" i="20" s="1"/>
  <c r="AD323" i="20" s="1"/>
  <c r="BC293" i="20"/>
  <c r="BV293" i="20" s="1"/>
  <c r="BC296" i="20"/>
  <c r="AG304" i="20"/>
  <c r="BG322" i="20"/>
  <c r="AX302" i="20"/>
  <c r="AX307" i="20" s="1"/>
  <c r="AX324" i="20" s="1"/>
  <c r="G304" i="20"/>
  <c r="S304" i="20"/>
  <c r="W304" i="20"/>
  <c r="AM304" i="20"/>
  <c r="BS304" i="20"/>
  <c r="BA306" i="20"/>
  <c r="BA323" i="20" s="1"/>
  <c r="AZ304" i="20"/>
  <c r="BA309" i="20" l="1"/>
  <c r="H304" i="20"/>
  <c r="Y306" i="20"/>
  <c r="Y323" i="20" s="1"/>
  <c r="AS309" i="20"/>
  <c r="AM309" i="20"/>
  <c r="AC309" i="20"/>
  <c r="AX200" i="20"/>
  <c r="BG200" i="20"/>
  <c r="T200" i="20"/>
  <c r="Y43" i="20"/>
  <c r="BC76" i="20"/>
  <c r="BV76" i="20" s="1"/>
  <c r="O71" i="20"/>
  <c r="I309" i="20"/>
  <c r="AB309" i="20"/>
  <c r="AL309" i="20"/>
  <c r="BT309" i="20"/>
  <c r="AY309" i="20"/>
  <c r="J306" i="20"/>
  <c r="J323" i="20" s="1"/>
  <c r="BI309" i="20"/>
  <c r="BI330" i="20" s="1"/>
  <c r="Y319" i="20"/>
  <c r="BL299" i="20"/>
  <c r="BL305" i="20" s="1"/>
  <c r="BL322" i="20" s="1"/>
  <c r="BC21" i="20"/>
  <c r="BV21" i="20" s="1"/>
  <c r="J200" i="20"/>
  <c r="BV278" i="20"/>
  <c r="BV277" i="20" s="1"/>
  <c r="BC277" i="20"/>
  <c r="I304" i="20"/>
  <c r="BG319" i="20"/>
  <c r="BK309" i="20"/>
  <c r="BK330" i="20" s="1"/>
  <c r="BN307" i="20"/>
  <c r="BN324" i="20" s="1"/>
  <c r="BN309" i="20" s="1"/>
  <c r="BN304" i="20"/>
  <c r="BC282" i="20"/>
  <c r="BC320" i="20" s="1"/>
  <c r="BV265" i="20"/>
  <c r="BC264" i="20"/>
  <c r="BL187" i="20"/>
  <c r="BL178" i="20" s="1"/>
  <c r="BP178" i="20"/>
  <c r="E306" i="20"/>
  <c r="E323" i="20" s="1"/>
  <c r="E307" i="20"/>
  <c r="E324" i="20" s="1"/>
  <c r="BC302" i="20"/>
  <c r="O200" i="20"/>
  <c r="BG255" i="20"/>
  <c r="BC157" i="20"/>
  <c r="BC8" i="20"/>
  <c r="BV9" i="20"/>
  <c r="BC7" i="20"/>
  <c r="BP203" i="20"/>
  <c r="BP312" i="20" s="1"/>
  <c r="BP309" i="20" s="1"/>
  <c r="BC214" i="20"/>
  <c r="BV214" i="20" s="1"/>
  <c r="BV250" i="20"/>
  <c r="BC283" i="20"/>
  <c r="BC321" i="20" s="1"/>
  <c r="BV279" i="20"/>
  <c r="BV283" i="20" s="1"/>
  <c r="BV321" i="20" s="1"/>
  <c r="BM307" i="20"/>
  <c r="BM324" i="20" s="1"/>
  <c r="AD304" i="20"/>
  <c r="BC179" i="20"/>
  <c r="BV179" i="20" s="1"/>
  <c r="BC178" i="20"/>
  <c r="BV180" i="20"/>
  <c r="BV178" i="20" s="1"/>
  <c r="BC158" i="20"/>
  <c r="BV158" i="20" s="1"/>
  <c r="Y203" i="20"/>
  <c r="Y312" i="20" s="1"/>
  <c r="BV204" i="20"/>
  <c r="BV313" i="20" s="1"/>
  <c r="Y257" i="20"/>
  <c r="Y317" i="20" s="1"/>
  <c r="Y178" i="20"/>
  <c r="AD71" i="20"/>
  <c r="AD200" i="20" s="1"/>
  <c r="BV296" i="20"/>
  <c r="BV295" i="20" s="1"/>
  <c r="BC295" i="20"/>
  <c r="BV240" i="20"/>
  <c r="BV258" i="20" s="1"/>
  <c r="BC258" i="20"/>
  <c r="BC289" i="20"/>
  <c r="BV290" i="20"/>
  <c r="BV289" i="20" s="1"/>
  <c r="BG280" i="20"/>
  <c r="BV133" i="20"/>
  <c r="BC206" i="20"/>
  <c r="BV74" i="20"/>
  <c r="BV206" i="20" s="1"/>
  <c r="AD203" i="20"/>
  <c r="AD312" i="20" s="1"/>
  <c r="AD309" i="20" s="1"/>
  <c r="BC259" i="20"/>
  <c r="BV245" i="20"/>
  <c r="BV259" i="20" s="1"/>
  <c r="BC43" i="20"/>
  <c r="BV44" i="20"/>
  <c r="BV43" i="20" s="1"/>
  <c r="AX304" i="20"/>
  <c r="BV230" i="20"/>
  <c r="BV261" i="20" s="1"/>
  <c r="BC261" i="20"/>
  <c r="BQ319" i="20"/>
  <c r="BQ309" i="20" s="1"/>
  <c r="I71" i="20"/>
  <c r="I200" i="20" s="1"/>
  <c r="BP72" i="20"/>
  <c r="BP71" i="20" s="1"/>
  <c r="BG309" i="20"/>
  <c r="BG330" i="20" s="1"/>
  <c r="BV157" i="20"/>
  <c r="BL56" i="20"/>
  <c r="BP43" i="20"/>
  <c r="AI309" i="20"/>
  <c r="BC204" i="20"/>
  <c r="BC313" i="20" s="1"/>
  <c r="Y201" i="20"/>
  <c r="Y310" i="20" s="1"/>
  <c r="BC205" i="20"/>
  <c r="BC314" i="20" s="1"/>
  <c r="BV39" i="20"/>
  <c r="BV205" i="20" s="1"/>
  <c r="BV314" i="20" s="1"/>
  <c r="W309" i="20"/>
  <c r="AX309" i="20"/>
  <c r="BC109" i="20"/>
  <c r="BC301" i="20"/>
  <c r="BV301" i="20" s="1"/>
  <c r="E299" i="20"/>
  <c r="E305" i="20" s="1"/>
  <c r="E322" i="20" s="1"/>
  <c r="E309" i="20" s="1"/>
  <c r="BV276" i="20"/>
  <c r="BV275" i="20" s="1"/>
  <c r="BV281" i="20" s="1"/>
  <c r="BC275" i="20"/>
  <c r="BC281" i="20" s="1"/>
  <c r="J309" i="20"/>
  <c r="BV12" i="20"/>
  <c r="BV210" i="20"/>
  <c r="BV209" i="20" s="1"/>
  <c r="BV300" i="20"/>
  <c r="BV299" i="20" s="1"/>
  <c r="BV305" i="20" s="1"/>
  <c r="BV322" i="20" s="1"/>
  <c r="BL214" i="20"/>
  <c r="BP209" i="20"/>
  <c r="BP255" i="20" s="1"/>
  <c r="BC260" i="20"/>
  <c r="BC318" i="20" s="1"/>
  <c r="BV249" i="20"/>
  <c r="BV260" i="20" s="1"/>
  <c r="BV318" i="20" s="1"/>
  <c r="BC140" i="20"/>
  <c r="BV140" i="20" s="1"/>
  <c r="Y71" i="20"/>
  <c r="Y200" i="20" s="1"/>
  <c r="H307" i="20"/>
  <c r="H324" i="20" s="1"/>
  <c r="H309" i="20" s="1"/>
  <c r="BO302" i="20"/>
  <c r="BL302" i="20" s="1"/>
  <c r="BV286" i="20"/>
  <c r="BV285" i="20" s="1"/>
  <c r="BC285" i="20"/>
  <c r="F305" i="20"/>
  <c r="F322" i="20" s="1"/>
  <c r="F309" i="20" s="1"/>
  <c r="F304" i="20"/>
  <c r="BV271" i="20"/>
  <c r="BV270" i="20" s="1"/>
  <c r="BC270" i="20"/>
  <c r="Y227" i="20"/>
  <c r="Y255" i="20" s="1"/>
  <c r="E255" i="20"/>
  <c r="BC207" i="20"/>
  <c r="BC315" i="20" s="1"/>
  <c r="BV199" i="20"/>
  <c r="BV207" i="20" s="1"/>
  <c r="BV315" i="20" s="1"/>
  <c r="BM299" i="20"/>
  <c r="BV229" i="20"/>
  <c r="BC256" i="20"/>
  <c r="BC316" i="20" s="1"/>
  <c r="BC228" i="20"/>
  <c r="BV228" i="20" s="1"/>
  <c r="BC227" i="20"/>
  <c r="E72" i="20"/>
  <c r="E71" i="20" s="1"/>
  <c r="E200" i="20" s="1"/>
  <c r="BC73" i="20"/>
  <c r="O309" i="20"/>
  <c r="AI200" i="20"/>
  <c r="AD255" i="20"/>
  <c r="AD280" i="20"/>
  <c r="BC202" i="20"/>
  <c r="BC311" i="20" s="1"/>
  <c r="BV38" i="20"/>
  <c r="BV202" i="20" s="1"/>
  <c r="BV311" i="20" s="1"/>
  <c r="T309" i="20"/>
  <c r="BP200" i="20"/>
  <c r="AH280" i="20"/>
  <c r="BC203" i="20" l="1"/>
  <c r="BC312" i="20" s="1"/>
  <c r="BC201" i="20"/>
  <c r="BC310" i="20" s="1"/>
  <c r="BV319" i="20"/>
  <c r="BV132" i="20"/>
  <c r="BC257" i="20"/>
  <c r="BC317" i="20" s="1"/>
  <c r="BM305" i="20"/>
  <c r="BM322" i="20" s="1"/>
  <c r="BM309" i="20" s="1"/>
  <c r="BM304" i="20"/>
  <c r="BC306" i="20"/>
  <c r="BC323" i="20" s="1"/>
  <c r="BC307" i="20"/>
  <c r="BC324" i="20" s="1"/>
  <c r="BV302" i="20"/>
  <c r="BV307" i="20" s="1"/>
  <c r="BV324" i="20" s="1"/>
  <c r="BC72" i="20"/>
  <c r="BC71" i="20" s="1"/>
  <c r="BV73" i="20"/>
  <c r="BV72" i="20" s="1"/>
  <c r="BV71" i="20" s="1"/>
  <c r="BV306" i="20"/>
  <c r="BV323" i="20" s="1"/>
  <c r="BL257" i="20"/>
  <c r="BL317" i="20" s="1"/>
  <c r="BL209" i="20"/>
  <c r="BL255" i="20" s="1"/>
  <c r="BC209" i="20"/>
  <c r="BC255" i="20" s="1"/>
  <c r="BC108" i="20"/>
  <c r="BV109" i="20"/>
  <c r="BV108" i="20" s="1"/>
  <c r="BC319" i="20"/>
  <c r="BC280" i="20"/>
  <c r="BV256" i="20"/>
  <c r="BV316" i="20" s="1"/>
  <c r="BV227" i="20"/>
  <c r="BV255" i="20" s="1"/>
  <c r="BO307" i="20"/>
  <c r="BO324" i="20" s="1"/>
  <c r="BO309" i="20" s="1"/>
  <c r="BO304" i="20"/>
  <c r="BC299" i="20"/>
  <c r="BC305" i="20" s="1"/>
  <c r="BC322" i="20" s="1"/>
  <c r="BV203" i="20"/>
  <c r="BV312" i="20" s="1"/>
  <c r="Y309" i="20"/>
  <c r="BL43" i="20"/>
  <c r="BL200" i="20" s="1"/>
  <c r="BL203" i="20"/>
  <c r="BL312" i="20" s="1"/>
  <c r="BC132" i="20"/>
  <c r="BV282" i="20"/>
  <c r="BV320" i="20" s="1"/>
  <c r="BV264" i="20"/>
  <c r="BV280" i="20" s="1"/>
  <c r="E304" i="20"/>
  <c r="BL307" i="20"/>
  <c r="BL324" i="20" s="1"/>
  <c r="BL304" i="20"/>
  <c r="BV257" i="20"/>
  <c r="BV317" i="20" s="1"/>
  <c r="BV8" i="20"/>
  <c r="BV201" i="20" s="1"/>
  <c r="BV310" i="20" s="1"/>
  <c r="BV309" i="20" s="1"/>
  <c r="BV7" i="20"/>
  <c r="BC309" i="20" l="1"/>
  <c r="BC200" i="20"/>
  <c r="BL309" i="20"/>
  <c r="BV304" i="20"/>
  <c r="BC304" i="20"/>
  <c r="BV200" i="20"/>
  <c r="E6" i="16" l="1"/>
  <c r="E5" i="16"/>
  <c r="E4" i="16"/>
  <c r="E7" i="16" l="1"/>
  <c r="C11" i="16"/>
  <c r="B11" i="16"/>
  <c r="D7" i="16"/>
  <c r="C7" i="16"/>
  <c r="B7" i="16"/>
  <c r="G21" i="15" l="1"/>
  <c r="F21" i="15"/>
  <c r="G20" i="15"/>
  <c r="F20" i="15"/>
  <c r="G19" i="15"/>
  <c r="F19" i="15"/>
  <c r="E22" i="15"/>
  <c r="B18" i="15"/>
  <c r="C20" i="15" s="1"/>
  <c r="I24" i="15"/>
  <c r="K20" i="15"/>
  <c r="K21" i="15" s="1"/>
  <c r="K25" i="15" s="1"/>
  <c r="K16" i="15"/>
  <c r="K17" i="15" s="1"/>
  <c r="J25" i="15" s="1"/>
  <c r="C14" i="15"/>
  <c r="E14" i="15"/>
  <c r="D14" i="15"/>
  <c r="N10" i="15"/>
  <c r="M10" i="15"/>
  <c r="L10" i="15"/>
  <c r="N4" i="15"/>
  <c r="M4" i="15"/>
  <c r="L4" i="15"/>
  <c r="K5" i="15"/>
  <c r="B13" i="15"/>
  <c r="B12" i="15"/>
  <c r="B11" i="15"/>
  <c r="E7" i="15"/>
  <c r="D7" i="15"/>
  <c r="C7" i="15"/>
  <c r="B6" i="15"/>
  <c r="B5" i="15"/>
  <c r="B4" i="15"/>
  <c r="B3" i="15"/>
  <c r="B7" i="15" l="1"/>
  <c r="B14" i="15"/>
  <c r="I25" i="15"/>
  <c r="I26" i="15" s="1"/>
  <c r="L5" i="15"/>
  <c r="L6" i="15" s="1"/>
  <c r="M5" i="15"/>
  <c r="M6" i="15" s="1"/>
  <c r="L16" i="15"/>
  <c r="N5" i="15"/>
  <c r="N6" i="15" s="1"/>
  <c r="L20" i="15"/>
  <c r="D18" i="15"/>
  <c r="D20" i="15" s="1"/>
  <c r="C19" i="15"/>
  <c r="C21" i="15"/>
  <c r="C22" i="15" l="1"/>
  <c r="D21" i="15"/>
  <c r="D19" i="15"/>
  <c r="D22" i="15" l="1"/>
  <c r="C12" i="16" l="1"/>
  <c r="D12" i="16"/>
  <c r="D13" i="16" l="1"/>
  <c r="B12" i="16"/>
  <c r="D11" i="16"/>
  <c r="E11" i="16" s="1"/>
  <c r="L90" i="12"/>
  <c r="P199" i="12"/>
  <c r="O199" i="12"/>
  <c r="N199" i="12"/>
  <c r="M199" i="12"/>
  <c r="L199" i="12" s="1"/>
  <c r="P198" i="12"/>
  <c r="O198" i="12"/>
  <c r="N198" i="12"/>
  <c r="M198" i="12"/>
  <c r="L198" i="12" s="1"/>
  <c r="P197" i="12"/>
  <c r="O197" i="12"/>
  <c r="N197" i="12"/>
  <c r="M197" i="12"/>
  <c r="P193" i="12"/>
  <c r="P194" i="12" s="1"/>
  <c r="L194" i="12" s="1"/>
  <c r="P191" i="12"/>
  <c r="O191" i="12"/>
  <c r="O192" i="12" s="1"/>
  <c r="O190" i="12" s="1"/>
  <c r="N191" i="12"/>
  <c r="N192" i="12" s="1"/>
  <c r="P187" i="12"/>
  <c r="O185" i="12"/>
  <c r="N185" i="12"/>
  <c r="N186" i="12" s="1"/>
  <c r="N184" i="12" s="1"/>
  <c r="M185" i="12"/>
  <c r="M186" i="12" s="1"/>
  <c r="Z169" i="12"/>
  <c r="Y169" i="12"/>
  <c r="X169" i="12"/>
  <c r="W169" i="12"/>
  <c r="T169" i="12"/>
  <c r="S169" i="12"/>
  <c r="R169" i="12"/>
  <c r="P169" i="12"/>
  <c r="O169" i="12"/>
  <c r="N169" i="12"/>
  <c r="M169" i="12"/>
  <c r="J169" i="12"/>
  <c r="H169" i="12"/>
  <c r="G169" i="12"/>
  <c r="F169" i="12"/>
  <c r="Z168" i="12"/>
  <c r="Z176" i="12" s="1"/>
  <c r="Y168" i="12"/>
  <c r="Y176" i="12" s="1"/>
  <c r="X168" i="12"/>
  <c r="X176" i="12" s="1"/>
  <c r="W168" i="12"/>
  <c r="W176" i="12" s="1"/>
  <c r="U168" i="12"/>
  <c r="U176" i="12" s="1"/>
  <c r="T168" i="12"/>
  <c r="T176" i="12" s="1"/>
  <c r="S168" i="12"/>
  <c r="S176" i="12" s="1"/>
  <c r="R168" i="12"/>
  <c r="R176" i="12" s="1"/>
  <c r="P168" i="12"/>
  <c r="P176" i="12" s="1"/>
  <c r="O168" i="12"/>
  <c r="N168" i="12"/>
  <c r="N176" i="12" s="1"/>
  <c r="M168" i="12"/>
  <c r="M176" i="12" s="1"/>
  <c r="J168" i="12"/>
  <c r="H168" i="12"/>
  <c r="H176" i="12" s="1"/>
  <c r="G168" i="12"/>
  <c r="G176" i="12" s="1"/>
  <c r="F168" i="12"/>
  <c r="F176" i="12" s="1"/>
  <c r="X167" i="12"/>
  <c r="X175" i="12" s="1"/>
  <c r="W167" i="12"/>
  <c r="W175" i="12" s="1"/>
  <c r="U167" i="12"/>
  <c r="U175" i="12" s="1"/>
  <c r="T167" i="12"/>
  <c r="T175" i="12" s="1"/>
  <c r="S167" i="12"/>
  <c r="S175" i="12" s="1"/>
  <c r="R167" i="12"/>
  <c r="R175" i="12" s="1"/>
  <c r="P167" i="12"/>
  <c r="P175" i="12" s="1"/>
  <c r="O167" i="12"/>
  <c r="O175" i="12" s="1"/>
  <c r="N167" i="12"/>
  <c r="N175" i="12" s="1"/>
  <c r="M167" i="12"/>
  <c r="M175" i="12" s="1"/>
  <c r="K167" i="12"/>
  <c r="J167" i="12"/>
  <c r="H167" i="12"/>
  <c r="H175" i="12" s="1"/>
  <c r="G167" i="12"/>
  <c r="G175" i="12" s="1"/>
  <c r="F167" i="12"/>
  <c r="F175" i="12" s="1"/>
  <c r="Z166" i="12"/>
  <c r="Z174" i="12" s="1"/>
  <c r="T166" i="12"/>
  <c r="T174" i="12" s="1"/>
  <c r="S166" i="12"/>
  <c r="S174" i="12" s="1"/>
  <c r="R166" i="12"/>
  <c r="R174" i="12" s="1"/>
  <c r="P166" i="12"/>
  <c r="O166" i="12"/>
  <c r="O174" i="12" s="1"/>
  <c r="N166" i="12"/>
  <c r="N174" i="12" s="1"/>
  <c r="J166" i="12"/>
  <c r="J174" i="12" s="1"/>
  <c r="H166" i="12"/>
  <c r="H174" i="12" s="1"/>
  <c r="G166" i="12"/>
  <c r="G174" i="12" s="1"/>
  <c r="F166" i="12"/>
  <c r="F174" i="12" s="1"/>
  <c r="P163" i="12"/>
  <c r="AA163" i="12" s="1"/>
  <c r="P162" i="12"/>
  <c r="AB161" i="12"/>
  <c r="AA161" i="12"/>
  <c r="V161" i="12"/>
  <c r="Q161" i="12"/>
  <c r="L161" i="12"/>
  <c r="I161" i="12"/>
  <c r="AB160" i="12"/>
  <c r="AA160" i="12"/>
  <c r="V160" i="12"/>
  <c r="Q160" i="12"/>
  <c r="L160" i="12"/>
  <c r="I160" i="12"/>
  <c r="AB159" i="12"/>
  <c r="AA159" i="12"/>
  <c r="V159" i="12"/>
  <c r="Q159" i="12"/>
  <c r="L159" i="12"/>
  <c r="I159" i="12"/>
  <c r="AB158" i="12"/>
  <c r="Y158" i="12"/>
  <c r="Q158" i="12"/>
  <c r="L158" i="12"/>
  <c r="I158" i="12"/>
  <c r="AB157" i="12"/>
  <c r="AA157" i="12"/>
  <c r="V157" i="12"/>
  <c r="Q157" i="12"/>
  <c r="L157" i="12"/>
  <c r="I157" i="12"/>
  <c r="AB156" i="12"/>
  <c r="V156" i="12"/>
  <c r="Q156" i="12"/>
  <c r="L156" i="12"/>
  <c r="I156" i="12"/>
  <c r="AB155" i="12"/>
  <c r="AA155" i="12"/>
  <c r="V155" i="12"/>
  <c r="Q155" i="12"/>
  <c r="L155" i="12"/>
  <c r="I155" i="12"/>
  <c r="AB154" i="12"/>
  <c r="AA154" i="12"/>
  <c r="V154" i="12"/>
  <c r="Q154" i="12"/>
  <c r="L154" i="12"/>
  <c r="I154" i="12"/>
  <c r="AB153" i="12"/>
  <c r="AA153" i="12"/>
  <c r="V153" i="12"/>
  <c r="Q153" i="12"/>
  <c r="L153" i="12"/>
  <c r="I153" i="12"/>
  <c r="AB152" i="12"/>
  <c r="AA152" i="12"/>
  <c r="V152" i="12"/>
  <c r="Q152" i="12"/>
  <c r="L152" i="12"/>
  <c r="I152" i="12"/>
  <c r="AA151" i="12"/>
  <c r="Z151" i="12"/>
  <c r="Q151" i="12"/>
  <c r="L151" i="12"/>
  <c r="I151" i="12"/>
  <c r="V150" i="12"/>
  <c r="Q150" i="12"/>
  <c r="L150" i="12"/>
  <c r="I150" i="12"/>
  <c r="V149" i="12"/>
  <c r="Q149" i="12"/>
  <c r="L149" i="12"/>
  <c r="I149" i="12"/>
  <c r="V148" i="12"/>
  <c r="Q148" i="12"/>
  <c r="L148" i="12"/>
  <c r="I148" i="12"/>
  <c r="V147" i="12"/>
  <c r="V169" i="12" s="1"/>
  <c r="U147" i="12"/>
  <c r="U169" i="12" s="1"/>
  <c r="L147" i="12"/>
  <c r="L169" i="12" s="1"/>
  <c r="I147" i="12"/>
  <c r="I169" i="12" s="1"/>
  <c r="Y146" i="12"/>
  <c r="X146" i="12"/>
  <c r="X145" i="12" s="1"/>
  <c r="W146" i="12"/>
  <c r="U146" i="12"/>
  <c r="Q146" i="12" s="1"/>
  <c r="M146" i="12"/>
  <c r="M144" i="12" s="1"/>
  <c r="I146" i="12"/>
  <c r="Z145" i="12"/>
  <c r="Y145" i="12"/>
  <c r="U145" i="12"/>
  <c r="T145" i="12"/>
  <c r="S145" i="12"/>
  <c r="R145" i="12"/>
  <c r="P145" i="12"/>
  <c r="O145" i="12"/>
  <c r="N145" i="12"/>
  <c r="F145" i="12"/>
  <c r="X144" i="12"/>
  <c r="W144" i="12"/>
  <c r="T144" i="12"/>
  <c r="S144" i="12"/>
  <c r="R144" i="12"/>
  <c r="P144" i="12"/>
  <c r="O144" i="12"/>
  <c r="N144" i="12"/>
  <c r="J144" i="12"/>
  <c r="J165" i="12" s="1"/>
  <c r="H144" i="12"/>
  <c r="G144" i="12"/>
  <c r="F144" i="12"/>
  <c r="D144" i="12"/>
  <c r="AB143" i="12"/>
  <c r="AA143" i="12"/>
  <c r="V143" i="12"/>
  <c r="Q143" i="12"/>
  <c r="L143" i="12"/>
  <c r="I143" i="12"/>
  <c r="AB142" i="12"/>
  <c r="AA142" i="12"/>
  <c r="V142" i="12"/>
  <c r="Q142" i="12"/>
  <c r="L142" i="12"/>
  <c r="I142" i="12"/>
  <c r="AB141" i="12"/>
  <c r="AA141" i="12"/>
  <c r="V141" i="12"/>
  <c r="Q141" i="12"/>
  <c r="L141" i="12"/>
  <c r="I141" i="12"/>
  <c r="AB140" i="12"/>
  <c r="V140" i="12"/>
  <c r="Q140" i="12"/>
  <c r="L140" i="12"/>
  <c r="I140" i="12"/>
  <c r="AB139" i="12"/>
  <c r="AA139" i="12"/>
  <c r="V139" i="12"/>
  <c r="Q139" i="12"/>
  <c r="L139" i="12"/>
  <c r="I139" i="12"/>
  <c r="AB138" i="12"/>
  <c r="AA138" i="12"/>
  <c r="V138" i="12"/>
  <c r="Q138" i="12"/>
  <c r="L138" i="12"/>
  <c r="I138" i="12"/>
  <c r="AB137" i="12"/>
  <c r="AA137" i="12"/>
  <c r="V137" i="12"/>
  <c r="Q137" i="12"/>
  <c r="L137" i="12"/>
  <c r="I137" i="12"/>
  <c r="AB136" i="12"/>
  <c r="AA136" i="12"/>
  <c r="V136" i="12"/>
  <c r="Q136" i="12"/>
  <c r="L136" i="12"/>
  <c r="I136" i="12"/>
  <c r="AB135" i="12"/>
  <c r="AA135" i="12"/>
  <c r="V135" i="12"/>
  <c r="Q135" i="12"/>
  <c r="L135" i="12"/>
  <c r="I135" i="12"/>
  <c r="AA134" i="12"/>
  <c r="Z134" i="12"/>
  <c r="AB134" i="12" s="1"/>
  <c r="Q134" i="12"/>
  <c r="L134" i="12"/>
  <c r="I134" i="12"/>
  <c r="V133" i="12"/>
  <c r="Q133" i="12"/>
  <c r="L133" i="12"/>
  <c r="I133" i="12"/>
  <c r="V132" i="12"/>
  <c r="Q132" i="12"/>
  <c r="L132" i="12"/>
  <c r="I132" i="12"/>
  <c r="V131" i="12"/>
  <c r="Q131" i="12"/>
  <c r="L131" i="12"/>
  <c r="I131" i="12"/>
  <c r="Y130" i="12"/>
  <c r="X130" i="12"/>
  <c r="X129" i="12" s="1"/>
  <c r="X165" i="12" s="1"/>
  <c r="W130" i="12"/>
  <c r="U130" i="12"/>
  <c r="M130" i="12"/>
  <c r="K130" i="12"/>
  <c r="I130" i="12"/>
  <c r="Z129" i="12"/>
  <c r="W129" i="12"/>
  <c r="T129" i="12"/>
  <c r="T165" i="12" s="1"/>
  <c r="S129" i="12"/>
  <c r="S165" i="12" s="1"/>
  <c r="R129" i="12"/>
  <c r="R165" i="12" s="1"/>
  <c r="P129" i="12"/>
  <c r="P165" i="12" s="1"/>
  <c r="O129" i="12"/>
  <c r="O165" i="12" s="1"/>
  <c r="N129" i="12"/>
  <c r="H129" i="12"/>
  <c r="G129" i="12"/>
  <c r="F129" i="12"/>
  <c r="D129" i="12"/>
  <c r="Z127" i="12"/>
  <c r="Z177" i="12" s="1"/>
  <c r="Z182" i="12" s="1"/>
  <c r="Y127" i="12"/>
  <c r="X127" i="12"/>
  <c r="X177" i="12" s="1"/>
  <c r="X182" i="12" s="1"/>
  <c r="W127" i="12"/>
  <c r="T127" i="12"/>
  <c r="T177" i="12" s="1"/>
  <c r="T182" i="12" s="1"/>
  <c r="S127" i="12"/>
  <c r="R127" i="12"/>
  <c r="R177" i="12" s="1"/>
  <c r="R182" i="12" s="1"/>
  <c r="P127" i="12"/>
  <c r="O127" i="12"/>
  <c r="N127" i="12"/>
  <c r="M127" i="12"/>
  <c r="J127" i="12"/>
  <c r="H127" i="12"/>
  <c r="G127" i="12"/>
  <c r="F127" i="12"/>
  <c r="F177" i="12" s="1"/>
  <c r="F182" i="12" s="1"/>
  <c r="Y126" i="12"/>
  <c r="Y173" i="12" s="1"/>
  <c r="X126" i="12"/>
  <c r="X173" i="12" s="1"/>
  <c r="W126" i="12"/>
  <c r="W173" i="12" s="1"/>
  <c r="T126" i="12"/>
  <c r="T173" i="12" s="1"/>
  <c r="S126" i="12"/>
  <c r="S173" i="12" s="1"/>
  <c r="R126" i="12"/>
  <c r="R173" i="12" s="1"/>
  <c r="P126" i="12"/>
  <c r="P173" i="12" s="1"/>
  <c r="O126" i="12"/>
  <c r="O173" i="12" s="1"/>
  <c r="N126" i="12"/>
  <c r="N173" i="12" s="1"/>
  <c r="M126" i="12"/>
  <c r="J126" i="12"/>
  <c r="H126" i="12"/>
  <c r="H173" i="12" s="1"/>
  <c r="G126" i="12"/>
  <c r="G173" i="12" s="1"/>
  <c r="F126" i="12"/>
  <c r="F173" i="12" s="1"/>
  <c r="O125" i="12"/>
  <c r="O172" i="12" s="1"/>
  <c r="N125" i="12"/>
  <c r="M125" i="12"/>
  <c r="M172" i="12" s="1"/>
  <c r="J125" i="12"/>
  <c r="J172" i="12" s="1"/>
  <c r="H125" i="12"/>
  <c r="H172" i="12" s="1"/>
  <c r="G125" i="12"/>
  <c r="G172" i="12" s="1"/>
  <c r="F125" i="12"/>
  <c r="F172" i="12" s="1"/>
  <c r="P122" i="12"/>
  <c r="L122" i="12" s="1"/>
  <c r="O121" i="12"/>
  <c r="AA121" i="12" s="1"/>
  <c r="N121" i="12"/>
  <c r="M121" i="12"/>
  <c r="AB120" i="12"/>
  <c r="AA120" i="12"/>
  <c r="V120" i="12"/>
  <c r="Q120" i="12"/>
  <c r="L120" i="12"/>
  <c r="I120" i="12"/>
  <c r="AB119" i="12"/>
  <c r="AA119" i="12"/>
  <c r="V119" i="12"/>
  <c r="Q119" i="12"/>
  <c r="L119" i="12"/>
  <c r="I119" i="12"/>
  <c r="AB118" i="12"/>
  <c r="V118" i="12"/>
  <c r="Q118" i="12"/>
  <c r="L118" i="12"/>
  <c r="I118" i="12"/>
  <c r="AB117" i="12"/>
  <c r="AA117" i="12"/>
  <c r="V117" i="12"/>
  <c r="Q117" i="12"/>
  <c r="L117" i="12"/>
  <c r="I117" i="12"/>
  <c r="AB116" i="12"/>
  <c r="AA116" i="12"/>
  <c r="V116" i="12"/>
  <c r="Q116" i="12"/>
  <c r="L116" i="12"/>
  <c r="I116" i="12"/>
  <c r="AB115" i="12"/>
  <c r="AA115" i="12"/>
  <c r="V115" i="12"/>
  <c r="Q115" i="12"/>
  <c r="L115" i="12"/>
  <c r="I115" i="12"/>
  <c r="AB114" i="12"/>
  <c r="AA114" i="12"/>
  <c r="V114" i="12"/>
  <c r="Q114" i="12"/>
  <c r="L114" i="12"/>
  <c r="I114" i="12"/>
  <c r="AA113" i="12"/>
  <c r="Z113" i="12"/>
  <c r="AB113" i="12" s="1"/>
  <c r="Q113" i="12"/>
  <c r="L113" i="12"/>
  <c r="I113" i="12"/>
  <c r="V112" i="12"/>
  <c r="Q112" i="12"/>
  <c r="L112" i="12"/>
  <c r="I112" i="12"/>
  <c r="V111" i="12"/>
  <c r="Q111" i="12"/>
  <c r="L111" i="12"/>
  <c r="I111" i="12"/>
  <c r="V110" i="12"/>
  <c r="Q110" i="12"/>
  <c r="L110" i="12"/>
  <c r="I110" i="12"/>
  <c r="V109" i="12"/>
  <c r="Q109" i="12"/>
  <c r="L109" i="12"/>
  <c r="I109" i="12"/>
  <c r="V108" i="12"/>
  <c r="Q108" i="12"/>
  <c r="L108" i="12"/>
  <c r="I108" i="12"/>
  <c r="V107" i="12"/>
  <c r="U107" i="12"/>
  <c r="Q107" i="12" s="1"/>
  <c r="L107" i="12"/>
  <c r="I107" i="12"/>
  <c r="Y106" i="12"/>
  <c r="X106" i="12"/>
  <c r="X104" i="12" s="1"/>
  <c r="W106" i="12"/>
  <c r="W105" i="12" s="1"/>
  <c r="U106" i="12"/>
  <c r="T106" i="12"/>
  <c r="AA106" i="12" s="1"/>
  <c r="S106" i="12"/>
  <c r="S105" i="12" s="1"/>
  <c r="R106" i="12"/>
  <c r="P106" i="12"/>
  <c r="L106" i="12" s="1"/>
  <c r="I106" i="12"/>
  <c r="Z105" i="12"/>
  <c r="X105" i="12"/>
  <c r="O105" i="12"/>
  <c r="N105" i="12"/>
  <c r="M105" i="12"/>
  <c r="J105" i="12"/>
  <c r="H105" i="12"/>
  <c r="F105" i="12"/>
  <c r="Z104" i="12"/>
  <c r="O104" i="12"/>
  <c r="N104" i="12"/>
  <c r="M104" i="12"/>
  <c r="J104" i="12"/>
  <c r="H104" i="12"/>
  <c r="G104" i="12"/>
  <c r="F104" i="12"/>
  <c r="K104" i="12" s="1"/>
  <c r="AB103" i="12"/>
  <c r="AA103" i="12"/>
  <c r="V103" i="12"/>
  <c r="Q103" i="12"/>
  <c r="L103" i="12"/>
  <c r="I103" i="12"/>
  <c r="AB102" i="12"/>
  <c r="AA102" i="12"/>
  <c r="V102" i="12"/>
  <c r="Q102" i="12"/>
  <c r="L102" i="12"/>
  <c r="I102" i="12"/>
  <c r="AB101" i="12"/>
  <c r="V101" i="12"/>
  <c r="Q101" i="12"/>
  <c r="L101" i="12"/>
  <c r="I101" i="12"/>
  <c r="AB100" i="12"/>
  <c r="AA100" i="12"/>
  <c r="V100" i="12"/>
  <c r="Q100" i="12"/>
  <c r="L100" i="12"/>
  <c r="I100" i="12"/>
  <c r="AB99" i="12"/>
  <c r="V99" i="12"/>
  <c r="U99" i="12"/>
  <c r="AA99" i="12" s="1"/>
  <c r="L99" i="12"/>
  <c r="I99" i="12"/>
  <c r="AB98" i="12"/>
  <c r="AA98" i="12"/>
  <c r="V98" i="12"/>
  <c r="Q98" i="12"/>
  <c r="L98" i="12"/>
  <c r="I98" i="12"/>
  <c r="AB97" i="12"/>
  <c r="AA97" i="12"/>
  <c r="V97" i="12"/>
  <c r="Q97" i="12"/>
  <c r="L97" i="12"/>
  <c r="I97" i="12"/>
  <c r="AA96" i="12"/>
  <c r="Z96" i="12"/>
  <c r="AB96" i="12" s="1"/>
  <c r="Q96" i="12"/>
  <c r="L96" i="12"/>
  <c r="I96" i="12"/>
  <c r="V95" i="12"/>
  <c r="Q95" i="12"/>
  <c r="L95" i="12"/>
  <c r="I95" i="12"/>
  <c r="V94" i="12"/>
  <c r="Q94" i="12"/>
  <c r="L94" i="12"/>
  <c r="I94" i="12"/>
  <c r="V93" i="12"/>
  <c r="Q93" i="12"/>
  <c r="L93" i="12"/>
  <c r="I93" i="12"/>
  <c r="V92" i="12"/>
  <c r="Q92" i="12"/>
  <c r="L92" i="12"/>
  <c r="I92" i="12"/>
  <c r="V91" i="12"/>
  <c r="Q91" i="12"/>
  <c r="L91" i="12"/>
  <c r="I91" i="12"/>
  <c r="V90" i="12"/>
  <c r="U90" i="12"/>
  <c r="AA90" i="12" s="1"/>
  <c r="I90" i="12"/>
  <c r="Y89" i="12"/>
  <c r="X89" i="12"/>
  <c r="X88" i="12" s="1"/>
  <c r="W89" i="12"/>
  <c r="W87" i="12" s="1"/>
  <c r="U89" i="12"/>
  <c r="T89" i="12"/>
  <c r="S89" i="12"/>
  <c r="S87" i="12" s="1"/>
  <c r="R89" i="12"/>
  <c r="R88" i="12" s="1"/>
  <c r="P89" i="12"/>
  <c r="L89" i="12" s="1"/>
  <c r="L88" i="12" s="1"/>
  <c r="I89" i="12"/>
  <c r="Z88" i="12"/>
  <c r="O88" i="12"/>
  <c r="N88" i="12"/>
  <c r="M88" i="12"/>
  <c r="J88" i="12"/>
  <c r="K88" i="12" s="1"/>
  <c r="I88" i="12"/>
  <c r="R87" i="12"/>
  <c r="O87" i="12"/>
  <c r="N87" i="12"/>
  <c r="M87" i="12"/>
  <c r="J87" i="12"/>
  <c r="H87" i="12"/>
  <c r="G87" i="12"/>
  <c r="F87" i="12"/>
  <c r="AB86" i="12"/>
  <c r="AA86" i="12"/>
  <c r="V86" i="12"/>
  <c r="Q86" i="12"/>
  <c r="L86" i="12"/>
  <c r="I86" i="12"/>
  <c r="AB85" i="12"/>
  <c r="AA85" i="12"/>
  <c r="V85" i="12"/>
  <c r="Q85" i="12"/>
  <c r="L85" i="12"/>
  <c r="I85" i="12"/>
  <c r="AB84" i="12"/>
  <c r="AA84" i="12"/>
  <c r="V84" i="12"/>
  <c r="Q84" i="12"/>
  <c r="L84" i="12"/>
  <c r="I84" i="12"/>
  <c r="AB83" i="12"/>
  <c r="AA83" i="12"/>
  <c r="V83" i="12"/>
  <c r="Q83" i="12"/>
  <c r="L83" i="12"/>
  <c r="I83" i="12"/>
  <c r="AB82" i="12"/>
  <c r="AA82" i="12"/>
  <c r="V82" i="12"/>
  <c r="Q82" i="12"/>
  <c r="L82" i="12"/>
  <c r="I82" i="12"/>
  <c r="AB81" i="12"/>
  <c r="AA81" i="12"/>
  <c r="V81" i="12"/>
  <c r="Q81" i="12"/>
  <c r="L81" i="12"/>
  <c r="I81" i="12"/>
  <c r="AA80" i="12"/>
  <c r="Z80" i="12"/>
  <c r="Q80" i="12"/>
  <c r="L80" i="12"/>
  <c r="I80" i="12"/>
  <c r="V79" i="12"/>
  <c r="Q79" i="12"/>
  <c r="L79" i="12"/>
  <c r="I79" i="12"/>
  <c r="V78" i="12"/>
  <c r="Q78" i="12"/>
  <c r="L78" i="12"/>
  <c r="I78" i="12"/>
  <c r="V77" i="12"/>
  <c r="Q77" i="12"/>
  <c r="L77" i="12"/>
  <c r="I77" i="12"/>
  <c r="V76" i="12"/>
  <c r="Q76" i="12"/>
  <c r="L76" i="12"/>
  <c r="I76" i="12"/>
  <c r="V75" i="12"/>
  <c r="Q75" i="12"/>
  <c r="L75" i="12"/>
  <c r="I75" i="12"/>
  <c r="V74" i="12"/>
  <c r="Q74" i="12"/>
  <c r="L74" i="12"/>
  <c r="I74" i="12"/>
  <c r="Z73" i="12"/>
  <c r="Y73" i="12"/>
  <c r="Y72" i="12" s="1"/>
  <c r="X73" i="12"/>
  <c r="W73" i="12"/>
  <c r="U73" i="12"/>
  <c r="U72" i="12" s="1"/>
  <c r="T73" i="12"/>
  <c r="AA73" i="12" s="1"/>
  <c r="S73" i="12"/>
  <c r="R73" i="12"/>
  <c r="P73" i="12"/>
  <c r="P72" i="12" s="1"/>
  <c r="K73" i="12"/>
  <c r="I73" i="12"/>
  <c r="W72" i="12"/>
  <c r="S72" i="12"/>
  <c r="O72" i="12"/>
  <c r="N72" i="12"/>
  <c r="M72" i="12"/>
  <c r="J72" i="12"/>
  <c r="H72" i="12"/>
  <c r="G72" i="12"/>
  <c r="F72" i="12"/>
  <c r="AB71" i="12"/>
  <c r="AA71" i="12"/>
  <c r="V71" i="12"/>
  <c r="Q71" i="12"/>
  <c r="L71" i="12"/>
  <c r="I71" i="12"/>
  <c r="AB70" i="12"/>
  <c r="AA70" i="12"/>
  <c r="V70" i="12"/>
  <c r="Q70" i="12"/>
  <c r="L70" i="12"/>
  <c r="I70" i="12"/>
  <c r="AB69" i="12"/>
  <c r="AA69" i="12"/>
  <c r="V69" i="12"/>
  <c r="Q69" i="12"/>
  <c r="L69" i="12"/>
  <c r="I69" i="12"/>
  <c r="AB68" i="12"/>
  <c r="AA68" i="12"/>
  <c r="V68" i="12"/>
  <c r="Q68" i="12"/>
  <c r="L68" i="12"/>
  <c r="I68" i="12"/>
  <c r="AB67" i="12"/>
  <c r="AA67" i="12"/>
  <c r="V67" i="12"/>
  <c r="Q67" i="12"/>
  <c r="L67" i="12"/>
  <c r="I67" i="12"/>
  <c r="AB66" i="12"/>
  <c r="AA66" i="12"/>
  <c r="V66" i="12"/>
  <c r="Q66" i="12"/>
  <c r="L66" i="12"/>
  <c r="I66" i="12"/>
  <c r="AA65" i="12"/>
  <c r="Z65" i="12"/>
  <c r="Q65" i="12"/>
  <c r="L65" i="12"/>
  <c r="I65" i="12"/>
  <c r="V64" i="12"/>
  <c r="Q64" i="12"/>
  <c r="L64" i="12"/>
  <c r="I64" i="12"/>
  <c r="V63" i="12"/>
  <c r="Q63" i="12"/>
  <c r="L63" i="12"/>
  <c r="I63" i="12"/>
  <c r="V62" i="12"/>
  <c r="Q62" i="12"/>
  <c r="L62" i="12"/>
  <c r="I62" i="12"/>
  <c r="V61" i="12"/>
  <c r="Q61" i="12"/>
  <c r="L61" i="12"/>
  <c r="I61" i="12"/>
  <c r="V60" i="12"/>
  <c r="Q60" i="12"/>
  <c r="L60" i="12"/>
  <c r="I60" i="12"/>
  <c r="V59" i="12"/>
  <c r="Q59" i="12"/>
  <c r="L59" i="12"/>
  <c r="I59" i="12"/>
  <c r="Z58" i="12"/>
  <c r="AD58" i="12" s="1"/>
  <c r="U58" i="12"/>
  <c r="U57" i="12" s="1"/>
  <c r="T58" i="12"/>
  <c r="S58" i="12"/>
  <c r="S57" i="12" s="1"/>
  <c r="R58" i="12"/>
  <c r="R57" i="12" s="1"/>
  <c r="P58" i="12"/>
  <c r="K58" i="12"/>
  <c r="I58" i="12"/>
  <c r="Y57" i="12"/>
  <c r="X57" i="12"/>
  <c r="W57" i="12"/>
  <c r="O57" i="12"/>
  <c r="N57" i="12"/>
  <c r="M57" i="12"/>
  <c r="J57" i="12"/>
  <c r="H57" i="12"/>
  <c r="G57" i="12"/>
  <c r="F57" i="12"/>
  <c r="AB56" i="12"/>
  <c r="AA56" i="12"/>
  <c r="V56" i="12"/>
  <c r="Q56" i="12"/>
  <c r="L56" i="12"/>
  <c r="I56" i="12"/>
  <c r="AB55" i="12"/>
  <c r="AA55" i="12"/>
  <c r="V55" i="12"/>
  <c r="Q55" i="12"/>
  <c r="L55" i="12"/>
  <c r="I55" i="12"/>
  <c r="AB54" i="12"/>
  <c r="AA54" i="12"/>
  <c r="V54" i="12"/>
  <c r="Q54" i="12"/>
  <c r="L54" i="12"/>
  <c r="I54" i="12"/>
  <c r="AB53" i="12"/>
  <c r="AA53" i="12"/>
  <c r="V53" i="12"/>
  <c r="Q53" i="12"/>
  <c r="L53" i="12"/>
  <c r="I53" i="12"/>
  <c r="AB52" i="12"/>
  <c r="AA52" i="12"/>
  <c r="V52" i="12"/>
  <c r="Q52" i="12"/>
  <c r="L52" i="12"/>
  <c r="I52" i="12"/>
  <c r="AB51" i="12"/>
  <c r="AA51" i="12"/>
  <c r="V51" i="12"/>
  <c r="Q51" i="12"/>
  <c r="L51" i="12"/>
  <c r="I51" i="12"/>
  <c r="AA50" i="12"/>
  <c r="Z50" i="12"/>
  <c r="AB50" i="12" s="1"/>
  <c r="Q50" i="12"/>
  <c r="L50" i="12"/>
  <c r="I50" i="12"/>
  <c r="V49" i="12"/>
  <c r="Q49" i="12"/>
  <c r="L49" i="12"/>
  <c r="I49" i="12"/>
  <c r="V48" i="12"/>
  <c r="Q48" i="12"/>
  <c r="L48" i="12"/>
  <c r="I48" i="12"/>
  <c r="V47" i="12"/>
  <c r="Q47" i="12"/>
  <c r="L47" i="12"/>
  <c r="I47" i="12"/>
  <c r="V46" i="12"/>
  <c r="Q46" i="12"/>
  <c r="L46" i="12"/>
  <c r="I46" i="12"/>
  <c r="V45" i="12"/>
  <c r="Q45" i="12"/>
  <c r="L45" i="12"/>
  <c r="I45" i="12"/>
  <c r="V44" i="12"/>
  <c r="U44" i="12"/>
  <c r="AA44" i="12" s="1"/>
  <c r="L44" i="12"/>
  <c r="I44" i="12"/>
  <c r="Y43" i="12"/>
  <c r="Y42" i="12" s="1"/>
  <c r="X43" i="12"/>
  <c r="X41" i="12" s="1"/>
  <c r="W43" i="12"/>
  <c r="W41" i="12" s="1"/>
  <c r="U43" i="12"/>
  <c r="U42" i="12" s="1"/>
  <c r="T43" i="12"/>
  <c r="AA43" i="12" s="1"/>
  <c r="S43" i="12"/>
  <c r="S42" i="12" s="1"/>
  <c r="R43" i="12"/>
  <c r="Q43" i="12" s="1"/>
  <c r="P43" i="12"/>
  <c r="L43" i="12" s="1"/>
  <c r="I43" i="12"/>
  <c r="Z42" i="12"/>
  <c r="X42" i="12"/>
  <c r="O42" i="12"/>
  <c r="N42" i="12"/>
  <c r="M42" i="12"/>
  <c r="J42" i="12"/>
  <c r="I42" i="12"/>
  <c r="H42" i="12"/>
  <c r="G42" i="12"/>
  <c r="F42" i="12"/>
  <c r="R41" i="12"/>
  <c r="O41" i="12"/>
  <c r="N41" i="12"/>
  <c r="M41" i="12"/>
  <c r="J41" i="12"/>
  <c r="H41" i="12"/>
  <c r="G41" i="12"/>
  <c r="F41" i="12"/>
  <c r="AB40" i="12"/>
  <c r="AA40" i="12"/>
  <c r="V40" i="12"/>
  <c r="Q40" i="12"/>
  <c r="L40" i="12"/>
  <c r="I40" i="12"/>
  <c r="AB39" i="12"/>
  <c r="AA39" i="12"/>
  <c r="V39" i="12"/>
  <c r="Q39" i="12"/>
  <c r="L39" i="12"/>
  <c r="I39" i="12"/>
  <c r="AB38" i="12"/>
  <c r="AA38" i="12"/>
  <c r="V38" i="12"/>
  <c r="Q38" i="12"/>
  <c r="L38" i="12"/>
  <c r="I38" i="12"/>
  <c r="AB37" i="12"/>
  <c r="AA37" i="12"/>
  <c r="V37" i="12"/>
  <c r="Q37" i="12"/>
  <c r="L37" i="12"/>
  <c r="I37" i="12"/>
  <c r="AB36" i="12"/>
  <c r="AA36" i="12"/>
  <c r="V36" i="12"/>
  <c r="Q36" i="12"/>
  <c r="L36" i="12"/>
  <c r="I36" i="12"/>
  <c r="AB35" i="12"/>
  <c r="AA35" i="12"/>
  <c r="V35" i="12"/>
  <c r="Q35" i="12"/>
  <c r="L35" i="12"/>
  <c r="I35" i="12"/>
  <c r="AA34" i="12"/>
  <c r="Z34" i="12"/>
  <c r="Q34" i="12"/>
  <c r="L34" i="12"/>
  <c r="I34" i="12"/>
  <c r="V33" i="12"/>
  <c r="Q33" i="12"/>
  <c r="L33" i="12"/>
  <c r="I33" i="12"/>
  <c r="V32" i="12"/>
  <c r="Q32" i="12"/>
  <c r="L32" i="12"/>
  <c r="I32" i="12"/>
  <c r="V31" i="12"/>
  <c r="Q31" i="12"/>
  <c r="L31" i="12"/>
  <c r="I31" i="12"/>
  <c r="V30" i="12"/>
  <c r="Q30" i="12"/>
  <c r="L30" i="12"/>
  <c r="I30" i="12"/>
  <c r="V29" i="12"/>
  <c r="Q29" i="12"/>
  <c r="L29" i="12"/>
  <c r="I29" i="12"/>
  <c r="Z28" i="12"/>
  <c r="Z125" i="12" s="1"/>
  <c r="Z172" i="12" s="1"/>
  <c r="Y28" i="12"/>
  <c r="Y27" i="12" s="1"/>
  <c r="X28" i="12"/>
  <c r="W28" i="12"/>
  <c r="V28" i="12" s="1"/>
  <c r="U28" i="12"/>
  <c r="T28" i="12"/>
  <c r="AA28" i="12" s="1"/>
  <c r="S28" i="12"/>
  <c r="S27" i="12" s="1"/>
  <c r="R28" i="12"/>
  <c r="R27" i="12" s="1"/>
  <c r="P28" i="12"/>
  <c r="L27" i="12"/>
  <c r="K28" i="12"/>
  <c r="I28" i="12"/>
  <c r="X27" i="12"/>
  <c r="U27" i="12"/>
  <c r="P27" i="12"/>
  <c r="O27" i="12"/>
  <c r="N27" i="12"/>
  <c r="M27" i="12"/>
  <c r="J27" i="12"/>
  <c r="H27" i="12"/>
  <c r="G27" i="12"/>
  <c r="F27" i="12"/>
  <c r="AB26" i="12"/>
  <c r="AA26" i="12"/>
  <c r="V26" i="12"/>
  <c r="Q26" i="12"/>
  <c r="L26" i="12"/>
  <c r="I26" i="12"/>
  <c r="AB25" i="12"/>
  <c r="AA25" i="12"/>
  <c r="V25" i="12"/>
  <c r="Q25" i="12"/>
  <c r="L25" i="12"/>
  <c r="I25" i="12"/>
  <c r="AB24" i="12"/>
  <c r="AA24" i="12"/>
  <c r="V24" i="12"/>
  <c r="Q24" i="12"/>
  <c r="L24" i="12"/>
  <c r="I24" i="12"/>
  <c r="AB23" i="12"/>
  <c r="AA23" i="12"/>
  <c r="V23" i="12"/>
  <c r="Q23" i="12"/>
  <c r="L23" i="12"/>
  <c r="I23" i="12"/>
  <c r="AB22" i="12"/>
  <c r="AA22" i="12"/>
  <c r="V22" i="12"/>
  <c r="Q22" i="12"/>
  <c r="L22" i="12"/>
  <c r="I22" i="12"/>
  <c r="AB21" i="12"/>
  <c r="AA21" i="12"/>
  <c r="V21" i="12"/>
  <c r="Q21" i="12"/>
  <c r="L21" i="12"/>
  <c r="I21" i="12"/>
  <c r="AA20" i="12"/>
  <c r="Z20" i="12"/>
  <c r="AB20" i="12" s="1"/>
  <c r="Q20" i="12"/>
  <c r="L20" i="12"/>
  <c r="I20" i="12"/>
  <c r="Q19" i="12"/>
  <c r="L19" i="12"/>
  <c r="I19" i="12"/>
  <c r="Q18" i="12"/>
  <c r="L18" i="12"/>
  <c r="I18" i="12"/>
  <c r="Q17" i="12"/>
  <c r="L17" i="12"/>
  <c r="I17" i="12"/>
  <c r="Q16" i="12"/>
  <c r="L16" i="12"/>
  <c r="I16" i="12"/>
  <c r="Q15" i="12"/>
  <c r="L15" i="12"/>
  <c r="I15" i="12"/>
  <c r="V14" i="12"/>
  <c r="Q14" i="12"/>
  <c r="L14" i="12"/>
  <c r="I14" i="12"/>
  <c r="V13" i="12"/>
  <c r="Q13" i="12"/>
  <c r="L13" i="12"/>
  <c r="I13" i="12"/>
  <c r="V12" i="12"/>
  <c r="Q12" i="12"/>
  <c r="L12" i="12"/>
  <c r="I12" i="12"/>
  <c r="V11" i="12"/>
  <c r="Q11" i="12"/>
  <c r="L11" i="12"/>
  <c r="I11" i="12"/>
  <c r="V10" i="12"/>
  <c r="Q10" i="12"/>
  <c r="L10" i="12"/>
  <c r="I10" i="12"/>
  <c r="V9" i="12"/>
  <c r="Q9" i="12"/>
  <c r="L9" i="12"/>
  <c r="I9" i="12"/>
  <c r="Y8" i="12"/>
  <c r="X8" i="12"/>
  <c r="W8" i="12"/>
  <c r="U8" i="12"/>
  <c r="T8" i="12"/>
  <c r="AA8" i="12" s="1"/>
  <c r="S8" i="12"/>
  <c r="R8" i="12"/>
  <c r="R125" i="12" s="1"/>
  <c r="R172" i="12" s="1"/>
  <c r="R180" i="12" s="1"/>
  <c r="K8" i="12"/>
  <c r="I8" i="12"/>
  <c r="X7" i="12"/>
  <c r="P7" i="12"/>
  <c r="O7" i="12"/>
  <c r="N7" i="12"/>
  <c r="M7" i="12"/>
  <c r="J7" i="12"/>
  <c r="H7" i="12"/>
  <c r="G7" i="12"/>
  <c r="F7" i="12"/>
  <c r="D2" i="12"/>
  <c r="M124" i="12" l="1"/>
  <c r="K42" i="12"/>
  <c r="Z72" i="12"/>
  <c r="AB28" i="12"/>
  <c r="Z41" i="12"/>
  <c r="P42" i="12"/>
  <c r="V127" i="12"/>
  <c r="V50" i="12"/>
  <c r="Z87" i="12"/>
  <c r="P88" i="12"/>
  <c r="W104" i="12"/>
  <c r="H165" i="12"/>
  <c r="V73" i="12"/>
  <c r="U41" i="12"/>
  <c r="R42" i="12"/>
  <c r="L72" i="12"/>
  <c r="H124" i="12"/>
  <c r="R7" i="12"/>
  <c r="AB8" i="12"/>
  <c r="AB43" i="12"/>
  <c r="L127" i="12"/>
  <c r="L177" i="12" s="1"/>
  <c r="L182" i="12" s="1"/>
  <c r="S88" i="12"/>
  <c r="Q106" i="12"/>
  <c r="J124" i="12"/>
  <c r="J171" i="12" s="1"/>
  <c r="N124" i="12"/>
  <c r="X125" i="12"/>
  <c r="X172" i="12" s="1"/>
  <c r="X180" i="12" s="1"/>
  <c r="K27" i="12"/>
  <c r="T27" i="12"/>
  <c r="AC28" i="12"/>
  <c r="K41" i="12"/>
  <c r="Y41" i="12"/>
  <c r="T42" i="12"/>
  <c r="L42" i="12"/>
  <c r="I127" i="12"/>
  <c r="I177" i="12" s="1"/>
  <c r="I182" i="12" s="1"/>
  <c r="K57" i="12"/>
  <c r="K72" i="12"/>
  <c r="K87" i="12"/>
  <c r="X87" i="12"/>
  <c r="Q90" i="12"/>
  <c r="V96" i="12"/>
  <c r="R104" i="12"/>
  <c r="R105" i="12"/>
  <c r="G177" i="12"/>
  <c r="G182" i="12" s="1"/>
  <c r="J177" i="12"/>
  <c r="N177" i="12"/>
  <c r="N182" i="12" s="1"/>
  <c r="P177" i="12"/>
  <c r="P182" i="12" s="1"/>
  <c r="S177" i="12"/>
  <c r="S182" i="12" s="1"/>
  <c r="W177" i="12"/>
  <c r="W182" i="12" s="1"/>
  <c r="L167" i="12"/>
  <c r="L175" i="12" s="1"/>
  <c r="K144" i="12"/>
  <c r="AB168" i="12"/>
  <c r="AB176" i="12" s="1"/>
  <c r="N181" i="12"/>
  <c r="L193" i="12"/>
  <c r="AC90" i="12"/>
  <c r="AB90" i="12"/>
  <c r="R181" i="12"/>
  <c r="T181" i="12"/>
  <c r="R179" i="12"/>
  <c r="AD8" i="12"/>
  <c r="I125" i="12"/>
  <c r="I172" i="12" s="1"/>
  <c r="I27" i="12"/>
  <c r="AD43" i="12"/>
  <c r="I41" i="12"/>
  <c r="T125" i="12"/>
  <c r="T172" i="12" s="1"/>
  <c r="T180" i="12" s="1"/>
  <c r="V58" i="12"/>
  <c r="I57" i="12"/>
  <c r="I72" i="12"/>
  <c r="P104" i="12"/>
  <c r="T104" i="12"/>
  <c r="P105" i="12"/>
  <c r="T105" i="12"/>
  <c r="AA122" i="12"/>
  <c r="G180" i="12"/>
  <c r="M145" i="12"/>
  <c r="L146" i="12"/>
  <c r="L144" i="12" s="1"/>
  <c r="X166" i="12"/>
  <c r="X174" i="12" s="1"/>
  <c r="X181" i="12" s="1"/>
  <c r="X179" i="12" s="1"/>
  <c r="I144" i="12"/>
  <c r="I168" i="12"/>
  <c r="I176" i="12" s="1"/>
  <c r="AA168" i="12"/>
  <c r="AA176" i="12" s="1"/>
  <c r="L163" i="12"/>
  <c r="M184" i="12"/>
  <c r="N190" i="12"/>
  <c r="O196" i="12"/>
  <c r="T7" i="12"/>
  <c r="Q8" i="12"/>
  <c r="Q7" i="12" s="1"/>
  <c r="L7" i="12"/>
  <c r="I105" i="12"/>
  <c r="AA107" i="12"/>
  <c r="AA127" i="12" s="1"/>
  <c r="AC127" i="12" s="1"/>
  <c r="I166" i="12"/>
  <c r="I174" i="12" s="1"/>
  <c r="L168" i="12"/>
  <c r="L176" i="12" s="1"/>
  <c r="F181" i="12"/>
  <c r="U166" i="12"/>
  <c r="U174" i="12" s="1"/>
  <c r="U181" i="12" s="1"/>
  <c r="N196" i="12"/>
  <c r="E12" i="16"/>
  <c r="D14" i="16"/>
  <c r="AB7" i="12"/>
  <c r="AB44" i="12"/>
  <c r="AA41" i="12"/>
  <c r="AC44" i="12"/>
  <c r="U125" i="12"/>
  <c r="U172" i="12" s="1"/>
  <c r="U7" i="12"/>
  <c r="V34" i="12"/>
  <c r="V27" i="12" s="1"/>
  <c r="Z27" i="12"/>
  <c r="W42" i="12"/>
  <c r="V43" i="12"/>
  <c r="P87" i="12"/>
  <c r="Y104" i="12"/>
  <c r="AD106" i="12"/>
  <c r="AB106" i="12"/>
  <c r="Y105" i="12"/>
  <c r="N165" i="12"/>
  <c r="N162" i="12"/>
  <c r="N164" i="12" s="1"/>
  <c r="W125" i="12"/>
  <c r="W172" i="12" s="1"/>
  <c r="W180" i="12" s="1"/>
  <c r="W7" i="12"/>
  <c r="V8" i="12"/>
  <c r="I7" i="12"/>
  <c r="AA126" i="12"/>
  <c r="AA173" i="12" s="1"/>
  <c r="AA27" i="12"/>
  <c r="P185" i="12"/>
  <c r="AD28" i="12"/>
  <c r="L41" i="12"/>
  <c r="T57" i="12"/>
  <c r="L58" i="12"/>
  <c r="L57" i="12" s="1"/>
  <c r="P125" i="12"/>
  <c r="AB73" i="12"/>
  <c r="AA72" i="12"/>
  <c r="AD73" i="12"/>
  <c r="Q104" i="12"/>
  <c r="U104" i="12"/>
  <c r="U105" i="12"/>
  <c r="N172" i="12"/>
  <c r="N180" i="12" s="1"/>
  <c r="N123" i="12"/>
  <c r="F124" i="12"/>
  <c r="K7" i="12"/>
  <c r="S125" i="12"/>
  <c r="S172" i="12" s="1"/>
  <c r="S180" i="12" s="1"/>
  <c r="S7" i="12"/>
  <c r="I126" i="12"/>
  <c r="I173" i="12" s="1"/>
  <c r="I180" i="12" s="1"/>
  <c r="W27" i="12"/>
  <c r="Q28" i="12"/>
  <c r="Q27" i="12" s="1"/>
  <c r="AB34" i="12"/>
  <c r="S41" i="12"/>
  <c r="P121" i="12"/>
  <c r="L121" i="12" s="1"/>
  <c r="AA42" i="12"/>
  <c r="P57" i="12"/>
  <c r="Q58" i="12"/>
  <c r="Q57" i="12" s="1"/>
  <c r="AB107" i="12"/>
  <c r="AA104" i="12"/>
  <c r="Z126" i="12"/>
  <c r="V20" i="12"/>
  <c r="AA58" i="12"/>
  <c r="AC58" i="12" s="1"/>
  <c r="V65" i="12"/>
  <c r="V57" i="12" s="1"/>
  <c r="AB65" i="12"/>
  <c r="Z57" i="12"/>
  <c r="G124" i="12"/>
  <c r="Z7" i="12"/>
  <c r="AA7" i="12"/>
  <c r="AC8" i="12"/>
  <c r="Y125" i="12"/>
  <c r="Y172" i="12" s="1"/>
  <c r="Y180" i="12" s="1"/>
  <c r="Y7" i="12"/>
  <c r="L126" i="12"/>
  <c r="L173" i="12" s="1"/>
  <c r="AB27" i="12"/>
  <c r="AB41" i="12"/>
  <c r="U127" i="12"/>
  <c r="U177" i="12" s="1"/>
  <c r="U182" i="12" s="1"/>
  <c r="Q44" i="12"/>
  <c r="Q42" i="12" s="1"/>
  <c r="Q73" i="12"/>
  <c r="Q72" i="12" s="1"/>
  <c r="R72" i="12"/>
  <c r="R124" i="12" s="1"/>
  <c r="R171" i="12" s="1"/>
  <c r="AB80" i="12"/>
  <c r="V80" i="12"/>
  <c r="V72" i="12" s="1"/>
  <c r="AA89" i="12"/>
  <c r="AC89" i="12" s="1"/>
  <c r="Q89" i="12"/>
  <c r="T88" i="12"/>
  <c r="T87" i="12"/>
  <c r="Y88" i="12"/>
  <c r="Y87" i="12"/>
  <c r="AD89" i="12"/>
  <c r="Q105" i="12"/>
  <c r="L104" i="12"/>
  <c r="V89" i="12"/>
  <c r="W165" i="12"/>
  <c r="L145" i="12"/>
  <c r="O184" i="12"/>
  <c r="O186" i="12"/>
  <c r="P41" i="12"/>
  <c r="T41" i="12"/>
  <c r="V177" i="12"/>
  <c r="V182" i="12" s="1"/>
  <c r="T72" i="12"/>
  <c r="X72" i="12"/>
  <c r="X124" i="12" s="1"/>
  <c r="X171" i="12" s="1"/>
  <c r="AC73" i="12"/>
  <c r="I87" i="12"/>
  <c r="S104" i="12"/>
  <c r="K105" i="12"/>
  <c r="L105" i="12"/>
  <c r="AC106" i="12"/>
  <c r="O123" i="12"/>
  <c r="H180" i="12"/>
  <c r="M173" i="12"/>
  <c r="M180" i="12" s="1"/>
  <c r="M123" i="12"/>
  <c r="U126" i="12"/>
  <c r="U173" i="12" s="1"/>
  <c r="I145" i="12"/>
  <c r="K145" i="12"/>
  <c r="AA147" i="12"/>
  <c r="U144" i="12"/>
  <c r="Q147" i="12"/>
  <c r="S181" i="12"/>
  <c r="L185" i="12"/>
  <c r="M129" i="12"/>
  <c r="M191" i="12"/>
  <c r="L130" i="12"/>
  <c r="L129" i="12" s="1"/>
  <c r="Y129" i="12"/>
  <c r="V130" i="12"/>
  <c r="AB151" i="12"/>
  <c r="AB167" i="12" s="1"/>
  <c r="AB175" i="12" s="1"/>
  <c r="V151" i="12"/>
  <c r="Z144" i="12"/>
  <c r="Z165" i="12" s="1"/>
  <c r="Y167" i="12"/>
  <c r="V158" i="12"/>
  <c r="Y144" i="12"/>
  <c r="M166" i="12"/>
  <c r="M174" i="12" s="1"/>
  <c r="M181" i="12" s="1"/>
  <c r="O124" i="12"/>
  <c r="AC43" i="12"/>
  <c r="W88" i="12"/>
  <c r="U88" i="12"/>
  <c r="U87" i="12"/>
  <c r="Q99" i="12"/>
  <c r="Q126" i="12" s="1"/>
  <c r="Q173" i="12" s="1"/>
  <c r="I104" i="12"/>
  <c r="V106" i="12"/>
  <c r="V113" i="12"/>
  <c r="F180" i="12"/>
  <c r="F179" i="12" s="1"/>
  <c r="G165" i="12"/>
  <c r="Q130" i="12"/>
  <c r="U129" i="12"/>
  <c r="AA130" i="12"/>
  <c r="I167" i="12"/>
  <c r="I175" i="12" s="1"/>
  <c r="I181" i="12" s="1"/>
  <c r="I129" i="12"/>
  <c r="AA167" i="12"/>
  <c r="AA175" i="12" s="1"/>
  <c r="W145" i="12"/>
  <c r="V146" i="12"/>
  <c r="G181" i="12"/>
  <c r="W166" i="12"/>
  <c r="W174" i="12" s="1"/>
  <c r="W181" i="12" s="1"/>
  <c r="F165" i="12"/>
  <c r="K129" i="12"/>
  <c r="Z167" i="12"/>
  <c r="Z175" i="12" s="1"/>
  <c r="Z181" i="12" s="1"/>
  <c r="V134" i="12"/>
  <c r="AA146" i="12"/>
  <c r="V168" i="12"/>
  <c r="V176" i="12" s="1"/>
  <c r="P164" i="12"/>
  <c r="O176" i="12"/>
  <c r="O181" i="12" s="1"/>
  <c r="AC168" i="12"/>
  <c r="L187" i="12"/>
  <c r="P188" i="12"/>
  <c r="L188" i="12" s="1"/>
  <c r="Q167" i="12"/>
  <c r="Q175" i="12" s="1"/>
  <c r="Y166" i="12"/>
  <c r="Y174" i="12" s="1"/>
  <c r="Q168" i="12"/>
  <c r="Q176" i="12" s="1"/>
  <c r="O162" i="12"/>
  <c r="H181" i="12"/>
  <c r="O180" i="12"/>
  <c r="O177" i="12"/>
  <c r="O182" i="12" s="1"/>
  <c r="P192" i="12"/>
  <c r="P190" i="12" s="1"/>
  <c r="H177" i="12"/>
  <c r="H182" i="12" s="1"/>
  <c r="M177" i="12"/>
  <c r="M182" i="12" s="1"/>
  <c r="Y177" i="12"/>
  <c r="Y182" i="12" s="1"/>
  <c r="P174" i="12"/>
  <c r="P181" i="12" s="1"/>
  <c r="L197" i="12"/>
  <c r="L196" i="12" s="1"/>
  <c r="M196" i="12"/>
  <c r="P196" i="12"/>
  <c r="H171" i="12" l="1"/>
  <c r="Y165" i="12"/>
  <c r="Z124" i="12"/>
  <c r="V167" i="12"/>
  <c r="V175" i="12" s="1"/>
  <c r="G179" i="12"/>
  <c r="I165" i="12"/>
  <c r="AA105" i="12"/>
  <c r="AC107" i="12"/>
  <c r="N179" i="12"/>
  <c r="N171" i="12"/>
  <c r="T179" i="12"/>
  <c r="T124" i="12"/>
  <c r="T171" i="12" s="1"/>
  <c r="L166" i="12"/>
  <c r="L174" i="12" s="1"/>
  <c r="L181" i="12" s="1"/>
  <c r="V126" i="12"/>
  <c r="V173" i="12" s="1"/>
  <c r="AB126" i="12"/>
  <c r="AB173" i="12" s="1"/>
  <c r="F171" i="12"/>
  <c r="AB72" i="12"/>
  <c r="P124" i="12"/>
  <c r="P171" i="12" s="1"/>
  <c r="AB130" i="12"/>
  <c r="AB129" i="12" s="1"/>
  <c r="AA129" i="12"/>
  <c r="Z173" i="12"/>
  <c r="Z180" i="12" s="1"/>
  <c r="Z179" i="12" s="1"/>
  <c r="AC126" i="12"/>
  <c r="V125" i="12"/>
  <c r="V172" i="12" s="1"/>
  <c r="V180" i="12" s="1"/>
  <c r="V7" i="12"/>
  <c r="L87" i="12"/>
  <c r="L124" i="12" s="1"/>
  <c r="I179" i="12"/>
  <c r="O164" i="12"/>
  <c r="AA162" i="12"/>
  <c r="U165" i="12"/>
  <c r="AC130" i="12"/>
  <c r="Y124" i="12"/>
  <c r="Y171" i="12" s="1"/>
  <c r="AA125" i="12"/>
  <c r="AA172" i="12" s="1"/>
  <c r="AA180" i="12" s="1"/>
  <c r="W124" i="12"/>
  <c r="W171" i="12" s="1"/>
  <c r="V41" i="12"/>
  <c r="V42" i="12"/>
  <c r="Q125" i="12"/>
  <c r="Q172" i="12" s="1"/>
  <c r="Q180" i="12" s="1"/>
  <c r="AA145" i="12"/>
  <c r="AA166" i="12"/>
  <c r="AA174" i="12" s="1"/>
  <c r="AA181" i="12" s="1"/>
  <c r="AB146" i="12"/>
  <c r="AA144" i="12"/>
  <c r="Q129" i="12"/>
  <c r="Q166" i="12"/>
  <c r="Q174" i="12" s="1"/>
  <c r="Q181" i="12" s="1"/>
  <c r="L165" i="12"/>
  <c r="Q144" i="12"/>
  <c r="Q169" i="12"/>
  <c r="Q145" i="12"/>
  <c r="H179" i="12"/>
  <c r="Q127" i="12"/>
  <c r="Q41" i="12"/>
  <c r="L125" i="12"/>
  <c r="L172" i="12" s="1"/>
  <c r="L180" i="12" s="1"/>
  <c r="G171" i="12"/>
  <c r="AB58" i="12"/>
  <c r="AA57" i="12"/>
  <c r="S124" i="12"/>
  <c r="S171" i="12" s="1"/>
  <c r="P172" i="12"/>
  <c r="P180" i="12" s="1"/>
  <c r="P179" i="12" s="1"/>
  <c r="AC125" i="12"/>
  <c r="P123" i="12"/>
  <c r="L123" i="12" s="1"/>
  <c r="I124" i="12"/>
  <c r="I171" i="12" s="1"/>
  <c r="W179" i="12"/>
  <c r="U124" i="12"/>
  <c r="AB127" i="12"/>
  <c r="AB42" i="12"/>
  <c r="V104" i="12"/>
  <c r="V105" i="12"/>
  <c r="M165" i="12"/>
  <c r="M171" i="12" s="1"/>
  <c r="M162" i="12"/>
  <c r="AA169" i="12"/>
  <c r="AC169" i="12" s="1"/>
  <c r="AC177" i="12" s="1"/>
  <c r="AB147" i="12"/>
  <c r="AB169" i="12" s="1"/>
  <c r="AB89" i="12"/>
  <c r="AA87" i="12"/>
  <c r="AA88" i="12"/>
  <c r="O179" i="12"/>
  <c r="M179" i="12"/>
  <c r="V166" i="12"/>
  <c r="V174" i="12" s="1"/>
  <c r="V181" i="12" s="1"/>
  <c r="V144" i="12"/>
  <c r="V145" i="12"/>
  <c r="O171" i="12"/>
  <c r="Y175" i="12"/>
  <c r="Y181" i="12" s="1"/>
  <c r="Y179" i="12" s="1"/>
  <c r="AC167" i="12"/>
  <c r="AD167" i="12" s="1"/>
  <c r="V129" i="12"/>
  <c r="M192" i="12"/>
  <c r="L192" i="12" s="1"/>
  <c r="L191" i="12"/>
  <c r="V87" i="12"/>
  <c r="V88" i="12"/>
  <c r="Q88" i="12"/>
  <c r="Q87" i="12"/>
  <c r="Z171" i="12"/>
  <c r="S179" i="12"/>
  <c r="P186" i="12"/>
  <c r="L186" i="12" s="1"/>
  <c r="L184" i="12" s="1"/>
  <c r="AB104" i="12"/>
  <c r="AB105" i="12"/>
  <c r="U180" i="12"/>
  <c r="U179" i="12" s="1"/>
  <c r="AB177" i="12" l="1"/>
  <c r="AB182" i="12" s="1"/>
  <c r="AA124" i="12"/>
  <c r="Q165" i="12"/>
  <c r="AA177" i="12"/>
  <c r="AA182" i="12" s="1"/>
  <c r="P184" i="12"/>
  <c r="U171" i="12"/>
  <c r="L179" i="12"/>
  <c r="M190" i="12"/>
  <c r="AA165" i="12"/>
  <c r="AC165" i="12" s="1"/>
  <c r="Q124" i="12"/>
  <c r="L171" i="12"/>
  <c r="AB88" i="12"/>
  <c r="AB87" i="12"/>
  <c r="AC124" i="12"/>
  <c r="AB57" i="12"/>
  <c r="AB124" i="12" s="1"/>
  <c r="AB125" i="12"/>
  <c r="AB172" i="12" s="1"/>
  <c r="AB180" i="12" s="1"/>
  <c r="V165" i="12"/>
  <c r="Q177" i="12"/>
  <c r="Q182" i="12" s="1"/>
  <c r="Q179" i="12" s="1"/>
  <c r="V124" i="12"/>
  <c r="V171" i="12" s="1"/>
  <c r="L190" i="12"/>
  <c r="AC166" i="12"/>
  <c r="L162" i="12"/>
  <c r="M164" i="12"/>
  <c r="L164" i="12" s="1"/>
  <c r="AB166" i="12"/>
  <c r="AB174" i="12" s="1"/>
  <c r="AB181" i="12" s="1"/>
  <c r="AB145" i="12"/>
  <c r="AB144" i="12"/>
  <c r="AB165" i="12" s="1"/>
  <c r="AA179" i="12"/>
  <c r="V179" i="12"/>
  <c r="Q171" i="12" l="1"/>
  <c r="AC171" i="12"/>
  <c r="AB179" i="12"/>
  <c r="AA171" i="12"/>
  <c r="AB171" i="12"/>
  <c r="AD171" i="12" s="1"/>
  <c r="AD124" i="12"/>
  <c r="AB263" i="7" l="1"/>
  <c r="G263" i="7"/>
  <c r="F263" i="7"/>
  <c r="Y247" i="7"/>
  <c r="X247" i="7"/>
  <c r="W247" i="7"/>
  <c r="V247" i="7"/>
  <c r="S247" i="7"/>
  <c r="R247" i="7"/>
  <c r="Q247" i="7"/>
  <c r="O247" i="7"/>
  <c r="N247" i="7"/>
  <c r="M247" i="7"/>
  <c r="L247" i="7"/>
  <c r="J247" i="7"/>
  <c r="I247" i="7"/>
  <c r="G247" i="7"/>
  <c r="F247" i="7"/>
  <c r="E247" i="7"/>
  <c r="Y246" i="7"/>
  <c r="X246" i="7"/>
  <c r="W246" i="7"/>
  <c r="V246" i="7"/>
  <c r="S246" i="7"/>
  <c r="Q246" i="7"/>
  <c r="O246" i="7"/>
  <c r="N246" i="7"/>
  <c r="M246" i="7"/>
  <c r="L246" i="7"/>
  <c r="G246" i="7"/>
  <c r="F246" i="7"/>
  <c r="E246" i="7"/>
  <c r="U244" i="7"/>
  <c r="T244" i="7"/>
  <c r="P244" i="7" s="1"/>
  <c r="K244" i="7"/>
  <c r="H244" i="7"/>
  <c r="AA243" i="7"/>
  <c r="U243" i="7"/>
  <c r="T243" i="7"/>
  <c r="Z243" i="7" s="1"/>
  <c r="K243" i="7"/>
  <c r="H243" i="7"/>
  <c r="AA242" i="7"/>
  <c r="U242" i="7"/>
  <c r="T242" i="7"/>
  <c r="Z242" i="7" s="1"/>
  <c r="K242" i="7"/>
  <c r="H242" i="7"/>
  <c r="U241" i="7"/>
  <c r="T241" i="7"/>
  <c r="Z241" i="7" s="1"/>
  <c r="K241" i="7"/>
  <c r="H241" i="7"/>
  <c r="U240" i="7"/>
  <c r="T240" i="7"/>
  <c r="K240" i="7"/>
  <c r="H240" i="7"/>
  <c r="U239" i="7"/>
  <c r="T239" i="7"/>
  <c r="K239" i="7"/>
  <c r="H239" i="7"/>
  <c r="AA238" i="7"/>
  <c r="U238" i="7"/>
  <c r="T238" i="7"/>
  <c r="Z238" i="7" s="1"/>
  <c r="K238" i="7"/>
  <c r="H238" i="7"/>
  <c r="U237" i="7"/>
  <c r="T237" i="7"/>
  <c r="Z237" i="7" s="1"/>
  <c r="K237" i="7"/>
  <c r="H237" i="7"/>
  <c r="U236" i="7"/>
  <c r="T236" i="7"/>
  <c r="K236" i="7"/>
  <c r="H236" i="7"/>
  <c r="U235" i="7"/>
  <c r="T235" i="7"/>
  <c r="Z235" i="7" s="1"/>
  <c r="K235" i="7"/>
  <c r="H235" i="7"/>
  <c r="Z234" i="7"/>
  <c r="Z246" i="7" s="1"/>
  <c r="U234" i="7"/>
  <c r="U246" i="7" s="1"/>
  <c r="R234" i="7"/>
  <c r="R246" i="7" s="1"/>
  <c r="K234" i="7"/>
  <c r="K246" i="7" s="1"/>
  <c r="I234" i="7"/>
  <c r="I246" i="7" s="1"/>
  <c r="H234" i="7"/>
  <c r="H246" i="7" s="1"/>
  <c r="Y233" i="7"/>
  <c r="Y245" i="7" s="1"/>
  <c r="X233" i="7"/>
  <c r="X245" i="7" s="1"/>
  <c r="W233" i="7"/>
  <c r="W245" i="7" s="1"/>
  <c r="V233" i="7"/>
  <c r="V245" i="7" s="1"/>
  <c r="S233" i="7"/>
  <c r="S245" i="7" s="1"/>
  <c r="R233" i="7"/>
  <c r="R245" i="7" s="1"/>
  <c r="Q233" i="7"/>
  <c r="Q245" i="7" s="1"/>
  <c r="O233" i="7"/>
  <c r="O245" i="7" s="1"/>
  <c r="N233" i="7"/>
  <c r="N245" i="7" s="1"/>
  <c r="M233" i="7"/>
  <c r="M245" i="7" s="1"/>
  <c r="L233" i="7"/>
  <c r="L245" i="7" s="1"/>
  <c r="I233" i="7"/>
  <c r="I245" i="7" s="1"/>
  <c r="G233" i="7"/>
  <c r="G245" i="7" s="1"/>
  <c r="F233" i="7"/>
  <c r="F245" i="7" s="1"/>
  <c r="E233" i="7"/>
  <c r="E245" i="7" s="1"/>
  <c r="T232" i="7"/>
  <c r="X231" i="7"/>
  <c r="W231" i="7"/>
  <c r="V231" i="7"/>
  <c r="S231" i="7"/>
  <c r="R231" i="7"/>
  <c r="Q231" i="7"/>
  <c r="N231" i="7"/>
  <c r="M231" i="7"/>
  <c r="L231" i="7"/>
  <c r="J231" i="7"/>
  <c r="I231" i="7"/>
  <c r="F231" i="7"/>
  <c r="E231" i="7"/>
  <c r="Y230" i="7"/>
  <c r="X230" i="7"/>
  <c r="W230" i="7"/>
  <c r="V230" i="7"/>
  <c r="T230" i="7"/>
  <c r="S230" i="7"/>
  <c r="R230" i="7"/>
  <c r="Q230" i="7"/>
  <c r="O230" i="7"/>
  <c r="N230" i="7"/>
  <c r="M230" i="7"/>
  <c r="L230" i="7"/>
  <c r="G230" i="7"/>
  <c r="F230" i="7"/>
  <c r="E230" i="7"/>
  <c r="AA229" i="7"/>
  <c r="Y229" i="7"/>
  <c r="X229" i="7"/>
  <c r="W229" i="7"/>
  <c r="V229" i="7"/>
  <c r="T229" i="7"/>
  <c r="S229" i="7"/>
  <c r="R229" i="7"/>
  <c r="Q229" i="7"/>
  <c r="O229" i="7"/>
  <c r="N229" i="7"/>
  <c r="M229" i="7"/>
  <c r="L229" i="7"/>
  <c r="J229" i="7"/>
  <c r="G229" i="7"/>
  <c r="F229" i="7"/>
  <c r="E229" i="7"/>
  <c r="U227" i="7"/>
  <c r="T227" i="7"/>
  <c r="Z227" i="7" s="1"/>
  <c r="AA227" i="7" s="1"/>
  <c r="K227" i="7"/>
  <c r="H227" i="7"/>
  <c r="AA226" i="7"/>
  <c r="U226" i="7"/>
  <c r="T226" i="7"/>
  <c r="P226" i="7" s="1"/>
  <c r="K226" i="7"/>
  <c r="H226" i="7"/>
  <c r="AA225" i="7"/>
  <c r="U225" i="7"/>
  <c r="T225" i="7"/>
  <c r="K225" i="7"/>
  <c r="H225" i="7"/>
  <c r="U224" i="7"/>
  <c r="T224" i="7"/>
  <c r="K224" i="7"/>
  <c r="H224" i="7"/>
  <c r="U223" i="7"/>
  <c r="T223" i="7"/>
  <c r="Z223" i="7" s="1"/>
  <c r="K223" i="7"/>
  <c r="H223" i="7"/>
  <c r="U222" i="7"/>
  <c r="T222" i="7"/>
  <c r="AA222" i="7" s="1"/>
  <c r="K222" i="7"/>
  <c r="H222" i="7"/>
  <c r="AA221" i="7"/>
  <c r="U221" i="7"/>
  <c r="T221" i="7"/>
  <c r="K221" i="7"/>
  <c r="H221" i="7"/>
  <c r="U220" i="7"/>
  <c r="T220" i="7"/>
  <c r="P220" i="7" s="1"/>
  <c r="K220" i="7"/>
  <c r="H220" i="7"/>
  <c r="T219" i="7"/>
  <c r="P219" i="7" s="1"/>
  <c r="K219" i="7"/>
  <c r="H219" i="7"/>
  <c r="U218" i="7"/>
  <c r="T218" i="7"/>
  <c r="P218" i="7" s="1"/>
  <c r="K218" i="7"/>
  <c r="H218" i="7"/>
  <c r="U217" i="7"/>
  <c r="K217" i="7"/>
  <c r="G217" i="7"/>
  <c r="H217" i="7" s="1"/>
  <c r="Z216" i="7"/>
  <c r="AA216" i="7" s="1"/>
  <c r="U216" i="7"/>
  <c r="P216" i="7"/>
  <c r="K216" i="7"/>
  <c r="H216" i="7"/>
  <c r="Y215" i="7"/>
  <c r="X215" i="7"/>
  <c r="W215" i="7"/>
  <c r="V215" i="7"/>
  <c r="S215" i="7"/>
  <c r="R215" i="7"/>
  <c r="Q215" i="7"/>
  <c r="O215" i="7"/>
  <c r="N215" i="7"/>
  <c r="M215" i="7"/>
  <c r="L215" i="7"/>
  <c r="I215" i="7"/>
  <c r="G215" i="7"/>
  <c r="F215" i="7"/>
  <c r="E215" i="7"/>
  <c r="U214" i="7"/>
  <c r="T214" i="7"/>
  <c r="P214" i="7" s="1"/>
  <c r="H214" i="7"/>
  <c r="AA213" i="7"/>
  <c r="U213" i="7"/>
  <c r="T213" i="7"/>
  <c r="K213" i="7"/>
  <c r="H213" i="7"/>
  <c r="AA212" i="7"/>
  <c r="U212" i="7"/>
  <c r="T212" i="7"/>
  <c r="Z212" i="7" s="1"/>
  <c r="K212" i="7"/>
  <c r="H212" i="7"/>
  <c r="U211" i="7"/>
  <c r="T211" i="7"/>
  <c r="AA211" i="7" s="1"/>
  <c r="K211" i="7"/>
  <c r="H211" i="7"/>
  <c r="U210" i="7"/>
  <c r="T210" i="7"/>
  <c r="K210" i="7"/>
  <c r="H210" i="7"/>
  <c r="U209" i="7"/>
  <c r="T209" i="7"/>
  <c r="Z209" i="7" s="1"/>
  <c r="K209" i="7"/>
  <c r="H209" i="7"/>
  <c r="AA208" i="7"/>
  <c r="U208" i="7"/>
  <c r="T208" i="7"/>
  <c r="Z208" i="7" s="1"/>
  <c r="K208" i="7"/>
  <c r="H208" i="7"/>
  <c r="U207" i="7"/>
  <c r="T207" i="7"/>
  <c r="AA207" i="7" s="1"/>
  <c r="K207" i="7"/>
  <c r="H207" i="7"/>
  <c r="U206" i="7"/>
  <c r="T206" i="7"/>
  <c r="P206" i="7" s="1"/>
  <c r="K206" i="7"/>
  <c r="H206" i="7"/>
  <c r="U205" i="7"/>
  <c r="K205" i="7"/>
  <c r="G205" i="7"/>
  <c r="G231" i="7" s="1"/>
  <c r="Z204" i="7"/>
  <c r="AA204" i="7" s="1"/>
  <c r="U204" i="7"/>
  <c r="P204" i="7"/>
  <c r="K204" i="7"/>
  <c r="H204" i="7"/>
  <c r="Z203" i="7"/>
  <c r="Z229" i="7" s="1"/>
  <c r="U203" i="7"/>
  <c r="U229" i="7" s="1"/>
  <c r="P203" i="7"/>
  <c r="P229" i="7" s="1"/>
  <c r="K203" i="7"/>
  <c r="K229" i="7" s="1"/>
  <c r="I203" i="7"/>
  <c r="I229" i="7" s="1"/>
  <c r="H203" i="7"/>
  <c r="H229" i="7" s="1"/>
  <c r="U202" i="7"/>
  <c r="T202" i="7"/>
  <c r="S202" i="7"/>
  <c r="S201" i="7" s="1"/>
  <c r="R202" i="7"/>
  <c r="R201" i="7" s="1"/>
  <c r="Q202" i="7"/>
  <c r="K202" i="7"/>
  <c r="K201" i="7" s="1"/>
  <c r="I202" i="7"/>
  <c r="I201" i="7" s="1"/>
  <c r="E202" i="7"/>
  <c r="Y201" i="7"/>
  <c r="X201" i="7"/>
  <c r="W201" i="7"/>
  <c r="V201" i="7"/>
  <c r="O201" i="7"/>
  <c r="N201" i="7"/>
  <c r="M201" i="7"/>
  <c r="L201" i="7"/>
  <c r="F201" i="7"/>
  <c r="U200" i="7"/>
  <c r="T200" i="7"/>
  <c r="P200" i="7" s="1"/>
  <c r="Z200" i="7" s="1"/>
  <c r="AA200" i="7" s="1"/>
  <c r="H200" i="7"/>
  <c r="AA199" i="7"/>
  <c r="U199" i="7"/>
  <c r="T199" i="7"/>
  <c r="Z199" i="7" s="1"/>
  <c r="P199" i="7"/>
  <c r="K199" i="7"/>
  <c r="H199" i="7"/>
  <c r="AA198" i="7"/>
  <c r="U198" i="7"/>
  <c r="T198" i="7"/>
  <c r="Z198" i="7" s="1"/>
  <c r="K198" i="7"/>
  <c r="H198" i="7"/>
  <c r="U197" i="7"/>
  <c r="T197" i="7"/>
  <c r="AA197" i="7" s="1"/>
  <c r="K197" i="7"/>
  <c r="H197" i="7"/>
  <c r="U196" i="7"/>
  <c r="T196" i="7"/>
  <c r="K196" i="7"/>
  <c r="H196" i="7"/>
  <c r="U195" i="7"/>
  <c r="T195" i="7"/>
  <c r="K195" i="7"/>
  <c r="H195" i="7"/>
  <c r="AA194" i="7"/>
  <c r="U194" i="7"/>
  <c r="T194" i="7"/>
  <c r="Z194" i="7" s="1"/>
  <c r="K194" i="7"/>
  <c r="H194" i="7"/>
  <c r="U193" i="7"/>
  <c r="T193" i="7"/>
  <c r="P193" i="7" s="1"/>
  <c r="K193" i="7"/>
  <c r="H193" i="7"/>
  <c r="T192" i="7"/>
  <c r="O192" i="7"/>
  <c r="H192" i="7"/>
  <c r="U191" i="7"/>
  <c r="T191" i="7"/>
  <c r="P191" i="7" s="1"/>
  <c r="K191" i="7"/>
  <c r="H191" i="7"/>
  <c r="Z190" i="7"/>
  <c r="AA190" i="7" s="1"/>
  <c r="U190" i="7"/>
  <c r="P190" i="7"/>
  <c r="K190" i="7"/>
  <c r="J190" i="7"/>
  <c r="J230" i="7" s="1"/>
  <c r="H190" i="7"/>
  <c r="X189" i="7"/>
  <c r="W189" i="7"/>
  <c r="V189" i="7"/>
  <c r="S189" i="7"/>
  <c r="R189" i="7"/>
  <c r="Q189" i="7"/>
  <c r="N189" i="7"/>
  <c r="M189" i="7"/>
  <c r="L189" i="7"/>
  <c r="I189" i="7"/>
  <c r="G189" i="7"/>
  <c r="F189" i="7"/>
  <c r="E189" i="7"/>
  <c r="X187" i="7"/>
  <c r="W187" i="7"/>
  <c r="V187" i="7"/>
  <c r="S187" i="7"/>
  <c r="R187" i="7"/>
  <c r="Q187" i="7"/>
  <c r="N187" i="7"/>
  <c r="M187" i="7"/>
  <c r="L187" i="7"/>
  <c r="J187" i="7"/>
  <c r="I187" i="7"/>
  <c r="G187" i="7"/>
  <c r="F187" i="7"/>
  <c r="AA186" i="7"/>
  <c r="Y186" i="7"/>
  <c r="X186" i="7"/>
  <c r="W186" i="7"/>
  <c r="V186" i="7"/>
  <c r="S186" i="7"/>
  <c r="R186" i="7"/>
  <c r="O186" i="7"/>
  <c r="N186" i="7"/>
  <c r="M186" i="7"/>
  <c r="L186" i="7"/>
  <c r="I186" i="7"/>
  <c r="G186" i="7"/>
  <c r="F186" i="7"/>
  <c r="E186" i="7"/>
  <c r="U184" i="7"/>
  <c r="K184" i="7"/>
  <c r="H184" i="7"/>
  <c r="T184" i="7" s="1"/>
  <c r="U183" i="7"/>
  <c r="K183" i="7"/>
  <c r="E183" i="7"/>
  <c r="E187" i="7" s="1"/>
  <c r="U182" i="7"/>
  <c r="K182" i="7"/>
  <c r="H182" i="7"/>
  <c r="T182" i="7" s="1"/>
  <c r="P182" i="7" s="1"/>
  <c r="AA181" i="7"/>
  <c r="U181" i="7"/>
  <c r="K181" i="7"/>
  <c r="H181" i="7"/>
  <c r="T181" i="7" s="1"/>
  <c r="AA180" i="7"/>
  <c r="U180" i="7"/>
  <c r="K180" i="7"/>
  <c r="H180" i="7"/>
  <c r="T180" i="7" s="1"/>
  <c r="U179" i="7"/>
  <c r="K179" i="7"/>
  <c r="H179" i="7"/>
  <c r="T179" i="7" s="1"/>
  <c r="P179" i="7" s="1"/>
  <c r="U178" i="7"/>
  <c r="K178" i="7"/>
  <c r="H178" i="7"/>
  <c r="T178" i="7" s="1"/>
  <c r="Z178" i="7" s="1"/>
  <c r="U177" i="7"/>
  <c r="K177" i="7"/>
  <c r="H177" i="7"/>
  <c r="T177" i="7" s="1"/>
  <c r="Z177" i="7" s="1"/>
  <c r="AA176" i="7"/>
  <c r="U176" i="7"/>
  <c r="K176" i="7"/>
  <c r="H176" i="7"/>
  <c r="T176" i="7" s="1"/>
  <c r="P176" i="7" s="1"/>
  <c r="Y175" i="7"/>
  <c r="U175" i="7"/>
  <c r="K175" i="7"/>
  <c r="H175" i="7"/>
  <c r="T175" i="7" s="1"/>
  <c r="P175" i="7" s="1"/>
  <c r="T174" i="7"/>
  <c r="Y174" i="7" s="1"/>
  <c r="Y171" i="7" s="1"/>
  <c r="K174" i="7"/>
  <c r="H174" i="7"/>
  <c r="Z173" i="7"/>
  <c r="U173" i="7"/>
  <c r="P173" i="7"/>
  <c r="K173" i="7"/>
  <c r="H173" i="7"/>
  <c r="U172" i="7"/>
  <c r="K172" i="7"/>
  <c r="J172" i="7"/>
  <c r="H172" i="7"/>
  <c r="T172" i="7" s="1"/>
  <c r="X171" i="7"/>
  <c r="W171" i="7"/>
  <c r="V171" i="7"/>
  <c r="S171" i="7"/>
  <c r="R171" i="7"/>
  <c r="Q171" i="7"/>
  <c r="O171" i="7"/>
  <c r="N171" i="7"/>
  <c r="M171" i="7"/>
  <c r="L171" i="7"/>
  <c r="I171" i="7"/>
  <c r="I185" i="7" s="1"/>
  <c r="G171" i="7"/>
  <c r="F171" i="7"/>
  <c r="E171" i="7"/>
  <c r="J171" i="7" s="1"/>
  <c r="U170" i="7"/>
  <c r="K170" i="7"/>
  <c r="H170" i="7"/>
  <c r="T170" i="7" s="1"/>
  <c r="Z170" i="7" s="1"/>
  <c r="AA169" i="7"/>
  <c r="U169" i="7"/>
  <c r="K169" i="7"/>
  <c r="H169" i="7"/>
  <c r="T169" i="7" s="1"/>
  <c r="AA168" i="7"/>
  <c r="U168" i="7"/>
  <c r="K168" i="7"/>
  <c r="H168" i="7"/>
  <c r="T168" i="7" s="1"/>
  <c r="U167" i="7"/>
  <c r="K167" i="7"/>
  <c r="H167" i="7"/>
  <c r="T167" i="7" s="1"/>
  <c r="P167" i="7" s="1"/>
  <c r="U166" i="7"/>
  <c r="K166" i="7"/>
  <c r="H166" i="7"/>
  <c r="T166" i="7" s="1"/>
  <c r="Z166" i="7" s="1"/>
  <c r="U165" i="7"/>
  <c r="K165" i="7"/>
  <c r="H165" i="7"/>
  <c r="T165" i="7" s="1"/>
  <c r="Z165" i="7" s="1"/>
  <c r="AA164" i="7"/>
  <c r="U164" i="7"/>
  <c r="K164" i="7"/>
  <c r="H164" i="7"/>
  <c r="T164" i="7" s="1"/>
  <c r="P164" i="7" s="1"/>
  <c r="Y163" i="7"/>
  <c r="U163" i="7"/>
  <c r="T163" i="7"/>
  <c r="P163" i="7" s="1"/>
  <c r="K163" i="7"/>
  <c r="H163" i="7"/>
  <c r="U162" i="7"/>
  <c r="P162" i="7"/>
  <c r="K162" i="7"/>
  <c r="H162" i="7"/>
  <c r="O161" i="7"/>
  <c r="K161" i="7" s="1"/>
  <c r="H161" i="7"/>
  <c r="U160" i="7"/>
  <c r="P160" i="7"/>
  <c r="K160" i="7"/>
  <c r="H160" i="7"/>
  <c r="U159" i="7"/>
  <c r="Q159" i="7"/>
  <c r="Q186" i="7" s="1"/>
  <c r="K159" i="7"/>
  <c r="J159" i="7"/>
  <c r="H159" i="7"/>
  <c r="X158" i="7"/>
  <c r="W158" i="7"/>
  <c r="V158" i="7"/>
  <c r="V185" i="7" s="1"/>
  <c r="S158" i="7"/>
  <c r="R158" i="7"/>
  <c r="O158" i="7"/>
  <c r="O185" i="7" s="1"/>
  <c r="N158" i="7"/>
  <c r="M158" i="7"/>
  <c r="M185" i="7" s="1"/>
  <c r="L158" i="7"/>
  <c r="G158" i="7"/>
  <c r="F158" i="7"/>
  <c r="E158" i="7"/>
  <c r="J158" i="7" s="1"/>
  <c r="Y156" i="7"/>
  <c r="X156" i="7"/>
  <c r="W156" i="7"/>
  <c r="V156" i="7"/>
  <c r="S156" i="7"/>
  <c r="R156" i="7"/>
  <c r="Q156" i="7"/>
  <c r="O156" i="7"/>
  <c r="N156" i="7"/>
  <c r="M156" i="7"/>
  <c r="L156" i="7"/>
  <c r="G156" i="7"/>
  <c r="F156" i="7"/>
  <c r="E156" i="7"/>
  <c r="Y155" i="7"/>
  <c r="Y254" i="7" s="1"/>
  <c r="X155" i="7"/>
  <c r="X254" i="7" s="1"/>
  <c r="W155" i="7"/>
  <c r="W254" i="7" s="1"/>
  <c r="V155" i="7"/>
  <c r="V254" i="7" s="1"/>
  <c r="T155" i="7"/>
  <c r="T254" i="7" s="1"/>
  <c r="S155" i="7"/>
  <c r="S254" i="7" s="1"/>
  <c r="R155" i="7"/>
  <c r="R254" i="7" s="1"/>
  <c r="Q155" i="7"/>
  <c r="Q254" i="7" s="1"/>
  <c r="O155" i="7"/>
  <c r="O254" i="7" s="1"/>
  <c r="N155" i="7"/>
  <c r="N254" i="7" s="1"/>
  <c r="M155" i="7"/>
  <c r="M254" i="7" s="1"/>
  <c r="L155" i="7"/>
  <c r="L254" i="7" s="1"/>
  <c r="G155" i="7"/>
  <c r="G254" i="7" s="1"/>
  <c r="F155" i="7"/>
  <c r="F254" i="7" s="1"/>
  <c r="E155" i="7"/>
  <c r="E254" i="7" s="1"/>
  <c r="Y154" i="7"/>
  <c r="Y253" i="7" s="1"/>
  <c r="W154" i="7"/>
  <c r="W253" i="7" s="1"/>
  <c r="V154" i="7"/>
  <c r="V253" i="7" s="1"/>
  <c r="T154" i="7"/>
  <c r="T253" i="7" s="1"/>
  <c r="S154" i="7"/>
  <c r="S253" i="7" s="1"/>
  <c r="R154" i="7"/>
  <c r="R253" i="7" s="1"/>
  <c r="Q154" i="7"/>
  <c r="Q253" i="7" s="1"/>
  <c r="N154" i="7"/>
  <c r="N253" i="7" s="1"/>
  <c r="M154" i="7"/>
  <c r="M253" i="7" s="1"/>
  <c r="L154" i="7"/>
  <c r="L253" i="7" s="1"/>
  <c r="G154" i="7"/>
  <c r="G253" i="7" s="1"/>
  <c r="F154" i="7"/>
  <c r="F253" i="7" s="1"/>
  <c r="E154" i="7"/>
  <c r="E253" i="7" s="1"/>
  <c r="Y153" i="7"/>
  <c r="Y252" i="7" s="1"/>
  <c r="Y272" i="7" s="1"/>
  <c r="X153" i="7"/>
  <c r="X252" i="7" s="1"/>
  <c r="W153" i="7"/>
  <c r="W252" i="7" s="1"/>
  <c r="V153" i="7"/>
  <c r="V252" i="7" s="1"/>
  <c r="S153" i="7"/>
  <c r="S252" i="7" s="1"/>
  <c r="R153" i="7"/>
  <c r="R252" i="7" s="1"/>
  <c r="Q153" i="7"/>
  <c r="Q252" i="7" s="1"/>
  <c r="Q272" i="7" s="1"/>
  <c r="O153" i="7"/>
  <c r="O252" i="7" s="1"/>
  <c r="N153" i="7"/>
  <c r="N252" i="7" s="1"/>
  <c r="M153" i="7"/>
  <c r="M252" i="7" s="1"/>
  <c r="G153" i="7"/>
  <c r="G252" i="7" s="1"/>
  <c r="F153" i="7"/>
  <c r="F252" i="7" s="1"/>
  <c r="E153" i="7"/>
  <c r="E252" i="7" s="1"/>
  <c r="I152" i="7"/>
  <c r="O151" i="7"/>
  <c r="Z151" i="7" s="1"/>
  <c r="O150" i="7"/>
  <c r="AA149" i="7"/>
  <c r="Z149" i="7"/>
  <c r="U149" i="7"/>
  <c r="P149" i="7"/>
  <c r="K149" i="7"/>
  <c r="H149" i="7"/>
  <c r="AA148" i="7"/>
  <c r="Z148" i="7"/>
  <c r="U148" i="7"/>
  <c r="P148" i="7"/>
  <c r="K148" i="7"/>
  <c r="H148" i="7"/>
  <c r="AA147" i="7"/>
  <c r="Z147" i="7"/>
  <c r="U147" i="7"/>
  <c r="P147" i="7"/>
  <c r="K147" i="7"/>
  <c r="H147" i="7"/>
  <c r="X146" i="7"/>
  <c r="P146" i="7"/>
  <c r="K146" i="7"/>
  <c r="H146" i="7"/>
  <c r="AA145" i="7"/>
  <c r="Z145" i="7"/>
  <c r="U145" i="7"/>
  <c r="P145" i="7"/>
  <c r="K145" i="7"/>
  <c r="H145" i="7"/>
  <c r="U144" i="7"/>
  <c r="P144" i="7"/>
  <c r="K144" i="7"/>
  <c r="H144" i="7"/>
  <c r="AA143" i="7"/>
  <c r="Z143" i="7"/>
  <c r="U143" i="7"/>
  <c r="P143" i="7"/>
  <c r="K143" i="7"/>
  <c r="H143" i="7"/>
  <c r="AA142" i="7"/>
  <c r="Z142" i="7"/>
  <c r="U142" i="7"/>
  <c r="P142" i="7"/>
  <c r="K142" i="7"/>
  <c r="H142" i="7"/>
  <c r="AA141" i="7"/>
  <c r="Z141" i="7"/>
  <c r="U141" i="7"/>
  <c r="P141" i="7"/>
  <c r="K141" i="7"/>
  <c r="H141" i="7"/>
  <c r="AA140" i="7"/>
  <c r="Z140" i="7"/>
  <c r="U140" i="7"/>
  <c r="P140" i="7"/>
  <c r="K140" i="7"/>
  <c r="H140" i="7"/>
  <c r="AA139" i="7"/>
  <c r="Z139" i="7"/>
  <c r="U139" i="7"/>
  <c r="P139" i="7"/>
  <c r="K139" i="7"/>
  <c r="H139" i="7"/>
  <c r="U138" i="7"/>
  <c r="P138" i="7"/>
  <c r="K138" i="7"/>
  <c r="H138" i="7"/>
  <c r="U137" i="7"/>
  <c r="P137" i="7"/>
  <c r="K137" i="7"/>
  <c r="H137" i="7"/>
  <c r="U136" i="7"/>
  <c r="P136" i="7"/>
  <c r="K136" i="7"/>
  <c r="H136" i="7"/>
  <c r="U135" i="7"/>
  <c r="U156" i="7" s="1"/>
  <c r="T135" i="7"/>
  <c r="K135" i="7"/>
  <c r="K156" i="7" s="1"/>
  <c r="H135" i="7"/>
  <c r="H156" i="7" s="1"/>
  <c r="U134" i="7"/>
  <c r="T134" i="7"/>
  <c r="Z134" i="7" s="1"/>
  <c r="AA134" i="7" s="1"/>
  <c r="L134" i="7"/>
  <c r="K134" i="7" s="1"/>
  <c r="H134" i="7"/>
  <c r="Y133" i="7"/>
  <c r="Y132" i="7" s="1"/>
  <c r="X133" i="7"/>
  <c r="W133" i="7"/>
  <c r="W132" i="7" s="1"/>
  <c r="V133" i="7"/>
  <c r="T133" i="7"/>
  <c r="S133" i="7"/>
  <c r="R133" i="7"/>
  <c r="R132" i="7" s="1"/>
  <c r="Q133" i="7"/>
  <c r="Q132" i="7" s="1"/>
  <c r="O133" i="7"/>
  <c r="O132" i="7" s="1"/>
  <c r="N133" i="7"/>
  <c r="N132" i="7" s="1"/>
  <c r="M133" i="7"/>
  <c r="M132" i="7" s="1"/>
  <c r="E133" i="7"/>
  <c r="E132" i="7" s="1"/>
  <c r="J132" i="7" s="1"/>
  <c r="V132" i="7"/>
  <c r="S132" i="7"/>
  <c r="G132" i="7"/>
  <c r="F132" i="7"/>
  <c r="D132" i="7"/>
  <c r="AA131" i="7"/>
  <c r="Z131" i="7"/>
  <c r="U131" i="7"/>
  <c r="P131" i="7"/>
  <c r="K131" i="7"/>
  <c r="H131" i="7"/>
  <c r="AA130" i="7"/>
  <c r="Z130" i="7"/>
  <c r="U130" i="7"/>
  <c r="P130" i="7"/>
  <c r="K130" i="7"/>
  <c r="H130" i="7"/>
  <c r="AA129" i="7"/>
  <c r="Z129" i="7"/>
  <c r="U129" i="7"/>
  <c r="P129" i="7"/>
  <c r="K129" i="7"/>
  <c r="H129" i="7"/>
  <c r="U128" i="7"/>
  <c r="P128" i="7"/>
  <c r="K128" i="7"/>
  <c r="H128" i="7"/>
  <c r="AA127" i="7"/>
  <c r="Z127" i="7"/>
  <c r="U127" i="7"/>
  <c r="P127" i="7"/>
  <c r="K127" i="7"/>
  <c r="H127" i="7"/>
  <c r="AA126" i="7"/>
  <c r="Z126" i="7"/>
  <c r="U126" i="7"/>
  <c r="P126" i="7"/>
  <c r="K126" i="7"/>
  <c r="H126" i="7"/>
  <c r="AA125" i="7"/>
  <c r="Z125" i="7"/>
  <c r="U125" i="7"/>
  <c r="P125" i="7"/>
  <c r="K125" i="7"/>
  <c r="H125" i="7"/>
  <c r="AA124" i="7"/>
  <c r="Z124" i="7"/>
  <c r="U124" i="7"/>
  <c r="P124" i="7"/>
  <c r="K124" i="7"/>
  <c r="H124" i="7"/>
  <c r="AA123" i="7"/>
  <c r="Z123" i="7"/>
  <c r="U123" i="7"/>
  <c r="P123" i="7"/>
  <c r="K123" i="7"/>
  <c r="H123" i="7"/>
  <c r="AA122" i="7"/>
  <c r="Z122" i="7"/>
  <c r="U122" i="7"/>
  <c r="P122" i="7"/>
  <c r="K122" i="7"/>
  <c r="H122" i="7"/>
  <c r="U121" i="7"/>
  <c r="P121" i="7"/>
  <c r="K121" i="7"/>
  <c r="H121" i="7"/>
  <c r="U120" i="7"/>
  <c r="P120" i="7"/>
  <c r="K120" i="7"/>
  <c r="H120" i="7"/>
  <c r="U119" i="7"/>
  <c r="P119" i="7"/>
  <c r="K119" i="7"/>
  <c r="H119" i="7"/>
  <c r="U118" i="7"/>
  <c r="T118" i="7"/>
  <c r="P118" i="7" s="1"/>
  <c r="L118" i="7"/>
  <c r="J118" i="7"/>
  <c r="H118" i="7"/>
  <c r="H153" i="7" s="1"/>
  <c r="H252" i="7" s="1"/>
  <c r="Y117" i="7"/>
  <c r="Y152" i="7" s="1"/>
  <c r="X117" i="7"/>
  <c r="W117" i="7"/>
  <c r="V117" i="7"/>
  <c r="S117" i="7"/>
  <c r="R117" i="7"/>
  <c r="Q117" i="7"/>
  <c r="O117" i="7"/>
  <c r="N117" i="7"/>
  <c r="N150" i="7" s="1"/>
  <c r="Z150" i="7" s="1"/>
  <c r="M117" i="7"/>
  <c r="G117" i="7"/>
  <c r="F117" i="7"/>
  <c r="E117" i="7"/>
  <c r="J117" i="7" s="1"/>
  <c r="D117" i="7"/>
  <c r="Y115" i="7"/>
  <c r="X115" i="7"/>
  <c r="X255" i="7" s="1"/>
  <c r="X273" i="7" s="1"/>
  <c r="W115" i="7"/>
  <c r="W255" i="7" s="1"/>
  <c r="W273" i="7" s="1"/>
  <c r="V115" i="7"/>
  <c r="S115" i="7"/>
  <c r="S255" i="7" s="1"/>
  <c r="S273" i="7" s="1"/>
  <c r="R115" i="7"/>
  <c r="Q115" i="7"/>
  <c r="O115" i="7"/>
  <c r="O255" i="7" s="1"/>
  <c r="O273" i="7" s="1"/>
  <c r="N115" i="7"/>
  <c r="M115" i="7"/>
  <c r="L115" i="7"/>
  <c r="L255" i="7" s="1"/>
  <c r="L273" i="7" s="1"/>
  <c r="G115" i="7"/>
  <c r="G255" i="7" s="1"/>
  <c r="G273" i="7" s="1"/>
  <c r="F115" i="7"/>
  <c r="E115" i="7"/>
  <c r="E255" i="7" s="1"/>
  <c r="E273" i="7" s="1"/>
  <c r="Y114" i="7"/>
  <c r="Y251" i="7" s="1"/>
  <c r="X114" i="7"/>
  <c r="X251" i="7" s="1"/>
  <c r="W114" i="7"/>
  <c r="W251" i="7" s="1"/>
  <c r="V114" i="7"/>
  <c r="V251" i="7" s="1"/>
  <c r="S114" i="7"/>
  <c r="S251" i="7" s="1"/>
  <c r="R114" i="7"/>
  <c r="R251" i="7" s="1"/>
  <c r="Q114" i="7"/>
  <c r="Q251" i="7" s="1"/>
  <c r="N114" i="7"/>
  <c r="N251" i="7" s="1"/>
  <c r="M114" i="7"/>
  <c r="M251" i="7" s="1"/>
  <c r="L114" i="7"/>
  <c r="L251" i="7" s="1"/>
  <c r="J114" i="7"/>
  <c r="I114" i="7"/>
  <c r="G114" i="7"/>
  <c r="G251" i="7" s="1"/>
  <c r="F114" i="7"/>
  <c r="F251" i="7" s="1"/>
  <c r="E114" i="7"/>
  <c r="E251" i="7" s="1"/>
  <c r="X113" i="7"/>
  <c r="X250" i="7" s="1"/>
  <c r="X271" i="7" s="1"/>
  <c r="W113" i="7"/>
  <c r="W250" i="7" s="1"/>
  <c r="V113" i="7"/>
  <c r="V250" i="7" s="1"/>
  <c r="V271" i="7" s="1"/>
  <c r="G113" i="7"/>
  <c r="G250" i="7" s="1"/>
  <c r="F113" i="7"/>
  <c r="F250" i="7" s="1"/>
  <c r="F271" i="7" s="1"/>
  <c r="E113" i="7"/>
  <c r="E250" i="7" s="1"/>
  <c r="E271" i="7" s="1"/>
  <c r="I112" i="7"/>
  <c r="I249" i="7" s="1"/>
  <c r="O111" i="7"/>
  <c r="K111" i="7" s="1"/>
  <c r="AA109" i="7"/>
  <c r="Z109" i="7"/>
  <c r="U109" i="7"/>
  <c r="P109" i="7"/>
  <c r="K109" i="7"/>
  <c r="H109" i="7"/>
  <c r="AA108" i="7"/>
  <c r="Z108" i="7"/>
  <c r="U108" i="7"/>
  <c r="P108" i="7"/>
  <c r="K108" i="7"/>
  <c r="H108" i="7"/>
  <c r="U107" i="7"/>
  <c r="P107" i="7"/>
  <c r="K107" i="7"/>
  <c r="H107" i="7"/>
  <c r="AA106" i="7"/>
  <c r="Z106" i="7"/>
  <c r="U106" i="7"/>
  <c r="P106" i="7"/>
  <c r="K106" i="7"/>
  <c r="H106" i="7"/>
  <c r="Z105" i="7"/>
  <c r="AA105" i="7" s="1"/>
  <c r="U105" i="7"/>
  <c r="P105" i="7"/>
  <c r="K105" i="7"/>
  <c r="H105" i="7"/>
  <c r="AA104" i="7"/>
  <c r="Z104" i="7"/>
  <c r="U104" i="7"/>
  <c r="P104" i="7"/>
  <c r="K104" i="7"/>
  <c r="H104" i="7"/>
  <c r="AA103" i="7"/>
  <c r="Z103" i="7"/>
  <c r="U103" i="7"/>
  <c r="P103" i="7"/>
  <c r="K103" i="7"/>
  <c r="H103" i="7"/>
  <c r="AA102" i="7"/>
  <c r="Z102" i="7"/>
  <c r="U102" i="7"/>
  <c r="P102" i="7"/>
  <c r="K102" i="7"/>
  <c r="H102" i="7"/>
  <c r="U101" i="7"/>
  <c r="P101" i="7"/>
  <c r="K101" i="7"/>
  <c r="H101" i="7"/>
  <c r="U100" i="7"/>
  <c r="P100" i="7"/>
  <c r="K100" i="7"/>
  <c r="H100" i="7"/>
  <c r="U99" i="7"/>
  <c r="P99" i="7"/>
  <c r="K99" i="7"/>
  <c r="H99" i="7"/>
  <c r="U98" i="7"/>
  <c r="P98" i="7"/>
  <c r="K98" i="7"/>
  <c r="H98" i="7"/>
  <c r="U97" i="7"/>
  <c r="P97" i="7"/>
  <c r="K97" i="7"/>
  <c r="H97" i="7"/>
  <c r="U96" i="7"/>
  <c r="T96" i="7"/>
  <c r="Z96" i="7" s="1"/>
  <c r="K96" i="7"/>
  <c r="H96" i="7"/>
  <c r="U95" i="7"/>
  <c r="U94" i="7" s="1"/>
  <c r="U93" i="7" s="1"/>
  <c r="T95" i="7"/>
  <c r="S95" i="7"/>
  <c r="Z95" i="7" s="1"/>
  <c r="R95" i="7"/>
  <c r="R94" i="7" s="1"/>
  <c r="R93" i="7" s="1"/>
  <c r="Q95" i="7"/>
  <c r="O95" i="7"/>
  <c r="K95" i="7" s="1"/>
  <c r="H95" i="7"/>
  <c r="Y94" i="7"/>
  <c r="Y93" i="7" s="1"/>
  <c r="X94" i="7"/>
  <c r="X93" i="7" s="1"/>
  <c r="W94" i="7"/>
  <c r="W93" i="7" s="1"/>
  <c r="V94" i="7"/>
  <c r="V93" i="7" s="1"/>
  <c r="N94" i="7"/>
  <c r="N93" i="7" s="1"/>
  <c r="M94" i="7"/>
  <c r="M93" i="7" s="1"/>
  <c r="L94" i="7"/>
  <c r="L93" i="7" s="1"/>
  <c r="J94" i="7"/>
  <c r="H94" i="7"/>
  <c r="G93" i="7"/>
  <c r="F93" i="7"/>
  <c r="E93" i="7"/>
  <c r="J93" i="7" s="1"/>
  <c r="AA92" i="7"/>
  <c r="Z92" i="7"/>
  <c r="U92" i="7"/>
  <c r="P92" i="7"/>
  <c r="K92" i="7"/>
  <c r="H92" i="7"/>
  <c r="AA91" i="7"/>
  <c r="Z91" i="7"/>
  <c r="U91" i="7"/>
  <c r="P91" i="7"/>
  <c r="K91" i="7"/>
  <c r="H91" i="7"/>
  <c r="U90" i="7"/>
  <c r="P90" i="7"/>
  <c r="K90" i="7"/>
  <c r="H90" i="7"/>
  <c r="AA89" i="7"/>
  <c r="Z89" i="7"/>
  <c r="U89" i="7"/>
  <c r="P89" i="7"/>
  <c r="K89" i="7"/>
  <c r="H89" i="7"/>
  <c r="U88" i="7"/>
  <c r="T88" i="7"/>
  <c r="Z88" i="7" s="1"/>
  <c r="AA88" i="7" s="1"/>
  <c r="K88" i="7"/>
  <c r="H88" i="7"/>
  <c r="AA87" i="7"/>
  <c r="Z87" i="7"/>
  <c r="U87" i="7"/>
  <c r="P87" i="7"/>
  <c r="K87" i="7"/>
  <c r="H87" i="7"/>
  <c r="AA86" i="7"/>
  <c r="Z86" i="7"/>
  <c r="U86" i="7"/>
  <c r="P86" i="7"/>
  <c r="K86" i="7"/>
  <c r="H86" i="7"/>
  <c r="AA85" i="7"/>
  <c r="Z85" i="7"/>
  <c r="U85" i="7"/>
  <c r="P85" i="7"/>
  <c r="K85" i="7"/>
  <c r="H85" i="7"/>
  <c r="U84" i="7"/>
  <c r="P84" i="7"/>
  <c r="K84" i="7"/>
  <c r="H84" i="7"/>
  <c r="U83" i="7"/>
  <c r="P83" i="7"/>
  <c r="K83" i="7"/>
  <c r="H83" i="7"/>
  <c r="U82" i="7"/>
  <c r="P82" i="7"/>
  <c r="K82" i="7"/>
  <c r="H82" i="7"/>
  <c r="U81" i="7"/>
  <c r="P81" i="7"/>
  <c r="K81" i="7"/>
  <c r="H81" i="7"/>
  <c r="U80" i="7"/>
  <c r="P80" i="7"/>
  <c r="K80" i="7"/>
  <c r="H80" i="7"/>
  <c r="U79" i="7"/>
  <c r="T79" i="7"/>
  <c r="AB79" i="7" s="1"/>
  <c r="K79" i="7"/>
  <c r="H79" i="7"/>
  <c r="U78" i="7"/>
  <c r="T78" i="7"/>
  <c r="S78" i="7"/>
  <c r="S77" i="7" s="1"/>
  <c r="S76" i="7" s="1"/>
  <c r="R78" i="7"/>
  <c r="Q78" i="7"/>
  <c r="O78" i="7"/>
  <c r="K78" i="7" s="1"/>
  <c r="H78" i="7"/>
  <c r="Y77" i="7"/>
  <c r="X77" i="7"/>
  <c r="X76" i="7" s="1"/>
  <c r="W77" i="7"/>
  <c r="W76" i="7" s="1"/>
  <c r="V77" i="7"/>
  <c r="V76" i="7" s="1"/>
  <c r="Q77" i="7"/>
  <c r="Q76" i="7" s="1"/>
  <c r="N77" i="7"/>
  <c r="N76" i="7" s="1"/>
  <c r="M77" i="7"/>
  <c r="M76" i="7" s="1"/>
  <c r="L77" i="7"/>
  <c r="L76" i="7" s="1"/>
  <c r="J77" i="7"/>
  <c r="H77" i="7"/>
  <c r="Y76" i="7"/>
  <c r="G76" i="7"/>
  <c r="F76" i="7"/>
  <c r="E76" i="7"/>
  <c r="J76" i="7" s="1"/>
  <c r="AA75" i="7"/>
  <c r="Z75" i="7"/>
  <c r="U75" i="7"/>
  <c r="P75" i="7"/>
  <c r="K75" i="7"/>
  <c r="H75" i="7"/>
  <c r="AA74" i="7"/>
  <c r="Z74" i="7"/>
  <c r="U74" i="7"/>
  <c r="P74" i="7"/>
  <c r="K74" i="7"/>
  <c r="H74" i="7"/>
  <c r="AA73" i="7"/>
  <c r="Z73" i="7"/>
  <c r="U73" i="7"/>
  <c r="P73" i="7"/>
  <c r="K73" i="7"/>
  <c r="H73" i="7"/>
  <c r="AA72" i="7"/>
  <c r="Z72" i="7"/>
  <c r="U72" i="7"/>
  <c r="P72" i="7"/>
  <c r="K72" i="7"/>
  <c r="H72" i="7"/>
  <c r="AA71" i="7"/>
  <c r="Z71" i="7"/>
  <c r="U71" i="7"/>
  <c r="P71" i="7"/>
  <c r="K71" i="7"/>
  <c r="H71" i="7"/>
  <c r="AA70" i="7"/>
  <c r="Z70" i="7"/>
  <c r="U70" i="7"/>
  <c r="P70" i="7"/>
  <c r="K70" i="7"/>
  <c r="H70" i="7"/>
  <c r="AA69" i="7"/>
  <c r="Z69" i="7"/>
  <c r="U69" i="7"/>
  <c r="P69" i="7"/>
  <c r="K69" i="7"/>
  <c r="H69" i="7"/>
  <c r="U68" i="7"/>
  <c r="P68" i="7"/>
  <c r="K68" i="7"/>
  <c r="H68" i="7"/>
  <c r="U67" i="7"/>
  <c r="P67" i="7"/>
  <c r="K67" i="7"/>
  <c r="H67" i="7"/>
  <c r="U66" i="7"/>
  <c r="P66" i="7"/>
  <c r="K66" i="7"/>
  <c r="H66" i="7"/>
  <c r="U65" i="7"/>
  <c r="P65" i="7"/>
  <c r="K65" i="7"/>
  <c r="H65" i="7"/>
  <c r="U64" i="7"/>
  <c r="P64" i="7"/>
  <c r="K64" i="7"/>
  <c r="H64" i="7"/>
  <c r="U63" i="7"/>
  <c r="T63" i="7"/>
  <c r="T62" i="7" s="1"/>
  <c r="S63" i="7"/>
  <c r="Z63" i="7" s="1"/>
  <c r="R63" i="7"/>
  <c r="R62" i="7" s="1"/>
  <c r="Q63" i="7"/>
  <c r="O63" i="7"/>
  <c r="K63" i="7" s="1"/>
  <c r="J63" i="7"/>
  <c r="H63" i="7"/>
  <c r="Y62" i="7"/>
  <c r="X62" i="7"/>
  <c r="W62" i="7"/>
  <c r="V62" i="7"/>
  <c r="N62" i="7"/>
  <c r="M62" i="7"/>
  <c r="L62" i="7"/>
  <c r="G62" i="7"/>
  <c r="F62" i="7"/>
  <c r="E62" i="7"/>
  <c r="J62" i="7" s="1"/>
  <c r="AA61" i="7"/>
  <c r="Z61" i="7"/>
  <c r="U61" i="7"/>
  <c r="P61" i="7"/>
  <c r="K61" i="7"/>
  <c r="H61" i="7"/>
  <c r="AA60" i="7"/>
  <c r="Z60" i="7"/>
  <c r="U60" i="7"/>
  <c r="P60" i="7"/>
  <c r="K60" i="7"/>
  <c r="H60" i="7"/>
  <c r="AA59" i="7"/>
  <c r="Z59" i="7"/>
  <c r="U59" i="7"/>
  <c r="P59" i="7"/>
  <c r="K59" i="7"/>
  <c r="H59" i="7"/>
  <c r="AA58" i="7"/>
  <c r="Z58" i="7"/>
  <c r="U58" i="7"/>
  <c r="P58" i="7"/>
  <c r="K58" i="7"/>
  <c r="H58" i="7"/>
  <c r="AA57" i="7"/>
  <c r="Z57" i="7"/>
  <c r="U57" i="7"/>
  <c r="P57" i="7"/>
  <c r="K57" i="7"/>
  <c r="H57" i="7"/>
  <c r="AA56" i="7"/>
  <c r="Z56" i="7"/>
  <c r="U56" i="7"/>
  <c r="P56" i="7"/>
  <c r="K56" i="7"/>
  <c r="H56" i="7"/>
  <c r="AA55" i="7"/>
  <c r="Z55" i="7"/>
  <c r="U55" i="7"/>
  <c r="P55" i="7"/>
  <c r="K55" i="7"/>
  <c r="H55" i="7"/>
  <c r="U54" i="7"/>
  <c r="P54" i="7"/>
  <c r="K54" i="7"/>
  <c r="H54" i="7"/>
  <c r="U53" i="7"/>
  <c r="P53" i="7"/>
  <c r="K53" i="7"/>
  <c r="H53" i="7"/>
  <c r="U52" i="7"/>
  <c r="P52" i="7"/>
  <c r="K52" i="7"/>
  <c r="K48" i="7" s="1"/>
  <c r="H52" i="7"/>
  <c r="U51" i="7"/>
  <c r="P51" i="7"/>
  <c r="K51" i="7"/>
  <c r="H51" i="7"/>
  <c r="U50" i="7"/>
  <c r="P50" i="7"/>
  <c r="K50" i="7"/>
  <c r="H50" i="7"/>
  <c r="Y49" i="7"/>
  <c r="Y113" i="7" s="1"/>
  <c r="Y250" i="7" s="1"/>
  <c r="U49" i="7"/>
  <c r="T49" i="7"/>
  <c r="T48" i="7" s="1"/>
  <c r="S49" i="7"/>
  <c r="Z49" i="7" s="1"/>
  <c r="R49" i="7"/>
  <c r="Q49" i="7"/>
  <c r="P49" i="7" s="1"/>
  <c r="P48" i="7" s="1"/>
  <c r="O49" i="7"/>
  <c r="K49" i="7" s="1"/>
  <c r="J49" i="7"/>
  <c r="H49" i="7"/>
  <c r="Y48" i="7"/>
  <c r="X48" i="7"/>
  <c r="W48" i="7"/>
  <c r="V48" i="7"/>
  <c r="R48" i="7"/>
  <c r="O48" i="7"/>
  <c r="N48" i="7"/>
  <c r="M48" i="7"/>
  <c r="L48" i="7"/>
  <c r="G48" i="7"/>
  <c r="F48" i="7"/>
  <c r="E48" i="7"/>
  <c r="J48" i="7" s="1"/>
  <c r="AA47" i="7"/>
  <c r="Z47" i="7"/>
  <c r="U47" i="7"/>
  <c r="P47" i="7"/>
  <c r="K47" i="7"/>
  <c r="H47" i="7"/>
  <c r="AA46" i="7"/>
  <c r="Z46" i="7"/>
  <c r="U46" i="7"/>
  <c r="P46" i="7"/>
  <c r="K46" i="7"/>
  <c r="H46" i="7"/>
  <c r="AA45" i="7"/>
  <c r="Z45" i="7"/>
  <c r="U45" i="7"/>
  <c r="P45" i="7"/>
  <c r="K45" i="7"/>
  <c r="H45" i="7"/>
  <c r="AA44" i="7"/>
  <c r="Z44" i="7"/>
  <c r="U44" i="7"/>
  <c r="P44" i="7"/>
  <c r="K44" i="7"/>
  <c r="H44" i="7"/>
  <c r="AA43" i="7"/>
  <c r="Z43" i="7"/>
  <c r="U43" i="7"/>
  <c r="P43" i="7"/>
  <c r="K43" i="7"/>
  <c r="H43" i="7"/>
  <c r="AA42" i="7"/>
  <c r="Z42" i="7"/>
  <c r="U42" i="7"/>
  <c r="P42" i="7"/>
  <c r="K42" i="7"/>
  <c r="H42" i="7"/>
  <c r="AA41" i="7"/>
  <c r="Z41" i="7"/>
  <c r="U41" i="7"/>
  <c r="P41" i="7"/>
  <c r="K41" i="7"/>
  <c r="H41" i="7"/>
  <c r="U40" i="7"/>
  <c r="P40" i="7"/>
  <c r="K40" i="7"/>
  <c r="H40" i="7"/>
  <c r="U39" i="7"/>
  <c r="P39" i="7"/>
  <c r="K39" i="7"/>
  <c r="H39" i="7"/>
  <c r="U38" i="7"/>
  <c r="P38" i="7"/>
  <c r="K38" i="7"/>
  <c r="H38" i="7"/>
  <c r="U37" i="7"/>
  <c r="P37" i="7"/>
  <c r="K37" i="7"/>
  <c r="H37" i="7"/>
  <c r="U36" i="7"/>
  <c r="T36" i="7"/>
  <c r="P36" i="7" s="1"/>
  <c r="K36" i="7"/>
  <c r="H36" i="7"/>
  <c r="U35" i="7"/>
  <c r="T35" i="7"/>
  <c r="S35" i="7"/>
  <c r="S34" i="7" s="1"/>
  <c r="S33" i="7" s="1"/>
  <c r="R35" i="7"/>
  <c r="R34" i="7" s="1"/>
  <c r="R33" i="7" s="1"/>
  <c r="Q35" i="7"/>
  <c r="Q34" i="7" s="1"/>
  <c r="Q33" i="7" s="1"/>
  <c r="O35" i="7"/>
  <c r="K35" i="7" s="1"/>
  <c r="H35" i="7"/>
  <c r="Y34" i="7"/>
  <c r="Y33" i="7" s="1"/>
  <c r="X34" i="7"/>
  <c r="W34" i="7"/>
  <c r="W33" i="7" s="1"/>
  <c r="V34" i="7"/>
  <c r="V33" i="7" s="1"/>
  <c r="O34" i="7"/>
  <c r="O33" i="7" s="1"/>
  <c r="N34" i="7"/>
  <c r="M34" i="7"/>
  <c r="M33" i="7" s="1"/>
  <c r="L34" i="7"/>
  <c r="L33" i="7" s="1"/>
  <c r="J34" i="7"/>
  <c r="H34" i="7"/>
  <c r="X33" i="7"/>
  <c r="N33" i="7"/>
  <c r="G33" i="7"/>
  <c r="F33" i="7"/>
  <c r="E33" i="7"/>
  <c r="J33" i="7" s="1"/>
  <c r="AA32" i="7"/>
  <c r="Z32" i="7"/>
  <c r="U32" i="7"/>
  <c r="P32" i="7"/>
  <c r="K32" i="7"/>
  <c r="H32" i="7"/>
  <c r="AA31" i="7"/>
  <c r="Z31" i="7"/>
  <c r="U31" i="7"/>
  <c r="P31" i="7"/>
  <c r="K31" i="7"/>
  <c r="H31" i="7"/>
  <c r="AA30" i="7"/>
  <c r="Z30" i="7"/>
  <c r="U30" i="7"/>
  <c r="P30" i="7"/>
  <c r="K30" i="7"/>
  <c r="H30" i="7"/>
  <c r="AA29" i="7"/>
  <c r="Z29" i="7"/>
  <c r="U29" i="7"/>
  <c r="P29" i="7"/>
  <c r="K29" i="7"/>
  <c r="H29" i="7"/>
  <c r="AA28" i="7"/>
  <c r="Z28" i="7"/>
  <c r="U28" i="7"/>
  <c r="P28" i="7"/>
  <c r="K28" i="7"/>
  <c r="H28" i="7"/>
  <c r="AA27" i="7"/>
  <c r="Z27" i="7"/>
  <c r="U27" i="7"/>
  <c r="P27" i="7"/>
  <c r="K27" i="7"/>
  <c r="H27" i="7"/>
  <c r="AA26" i="7"/>
  <c r="Z26" i="7"/>
  <c r="U26" i="7"/>
  <c r="P26" i="7"/>
  <c r="K26" i="7"/>
  <c r="H26" i="7"/>
  <c r="U25" i="7"/>
  <c r="P25" i="7"/>
  <c r="K25" i="7"/>
  <c r="H25" i="7"/>
  <c r="U24" i="7"/>
  <c r="P24" i="7"/>
  <c r="K24" i="7"/>
  <c r="H24" i="7"/>
  <c r="U23" i="7"/>
  <c r="U20" i="7" s="1"/>
  <c r="P23" i="7"/>
  <c r="K23" i="7"/>
  <c r="H23" i="7"/>
  <c r="U22" i="7"/>
  <c r="P22" i="7"/>
  <c r="K22" i="7"/>
  <c r="H22" i="7"/>
  <c r="U21" i="7"/>
  <c r="T21" i="7"/>
  <c r="T20" i="7" s="1"/>
  <c r="S21" i="7"/>
  <c r="Z21" i="7" s="1"/>
  <c r="R21" i="7"/>
  <c r="R20" i="7" s="1"/>
  <c r="Q21" i="7"/>
  <c r="O21" i="7"/>
  <c r="K21" i="7" s="1"/>
  <c r="J21" i="7"/>
  <c r="H21" i="7"/>
  <c r="Y20" i="7"/>
  <c r="X20" i="7"/>
  <c r="W20" i="7"/>
  <c r="V20" i="7"/>
  <c r="Q20" i="7"/>
  <c r="N20" i="7"/>
  <c r="M20" i="7"/>
  <c r="L20" i="7"/>
  <c r="G20" i="7"/>
  <c r="F20" i="7"/>
  <c r="E20" i="7"/>
  <c r="J20" i="7" s="1"/>
  <c r="AA19" i="7"/>
  <c r="Z19" i="7"/>
  <c r="U19" i="7"/>
  <c r="P19" i="7"/>
  <c r="K19" i="7"/>
  <c r="H19" i="7"/>
  <c r="AA18" i="7"/>
  <c r="Z18" i="7"/>
  <c r="U18" i="7"/>
  <c r="P18" i="7"/>
  <c r="K18" i="7"/>
  <c r="H18" i="7"/>
  <c r="AA17" i="7"/>
  <c r="Z17" i="7"/>
  <c r="U17" i="7"/>
  <c r="P17" i="7"/>
  <c r="K17" i="7"/>
  <c r="H17" i="7"/>
  <c r="AA16" i="7"/>
  <c r="Z16" i="7"/>
  <c r="U16" i="7"/>
  <c r="P16" i="7"/>
  <c r="K16" i="7"/>
  <c r="H16" i="7"/>
  <c r="AA15" i="7"/>
  <c r="Z15" i="7"/>
  <c r="U15" i="7"/>
  <c r="P15" i="7"/>
  <c r="K15" i="7"/>
  <c r="H15" i="7"/>
  <c r="AA14" i="7"/>
  <c r="Z14" i="7"/>
  <c r="U14" i="7"/>
  <c r="P14" i="7"/>
  <c r="K14" i="7"/>
  <c r="H14" i="7"/>
  <c r="AA13" i="7"/>
  <c r="Z13" i="7"/>
  <c r="U13" i="7"/>
  <c r="P13" i="7"/>
  <c r="K13" i="7"/>
  <c r="H13" i="7"/>
  <c r="U12" i="7"/>
  <c r="P12" i="7"/>
  <c r="K12" i="7"/>
  <c r="H12" i="7"/>
  <c r="U11" i="7"/>
  <c r="P11" i="7"/>
  <c r="K11" i="7"/>
  <c r="H11" i="7"/>
  <c r="U10" i="7"/>
  <c r="P10" i="7"/>
  <c r="K10" i="7"/>
  <c r="H10" i="7"/>
  <c r="U9" i="7"/>
  <c r="P9" i="7"/>
  <c r="K9" i="7"/>
  <c r="H9" i="7"/>
  <c r="U8" i="7"/>
  <c r="T8" i="7"/>
  <c r="S8" i="7"/>
  <c r="S7" i="7" s="1"/>
  <c r="R8" i="7"/>
  <c r="Q8" i="7"/>
  <c r="O8" i="7"/>
  <c r="K8" i="7" s="1"/>
  <c r="J8" i="7"/>
  <c r="H8" i="7"/>
  <c r="Y7" i="7"/>
  <c r="X7" i="7"/>
  <c r="W7" i="7"/>
  <c r="V7" i="7"/>
  <c r="R7" i="7"/>
  <c r="O7" i="7"/>
  <c r="N7" i="7"/>
  <c r="M7" i="7"/>
  <c r="L7" i="7"/>
  <c r="G7" i="7"/>
  <c r="F7" i="7"/>
  <c r="E7" i="7"/>
  <c r="E112" i="7" s="1"/>
  <c r="I2" i="7"/>
  <c r="J25" i="5"/>
  <c r="K25" i="5" s="1"/>
  <c r="J24" i="5"/>
  <c r="K23" i="5"/>
  <c r="D25" i="5"/>
  <c r="D22" i="5"/>
  <c r="M18" i="5"/>
  <c r="M17" i="5"/>
  <c r="M16" i="5"/>
  <c r="D18" i="5"/>
  <c r="D7" i="5"/>
  <c r="E7" i="5" s="1"/>
  <c r="D6" i="5"/>
  <c r="D11" i="5" s="1"/>
  <c r="D5" i="5"/>
  <c r="E5" i="5"/>
  <c r="B4" i="5"/>
  <c r="H4" i="5"/>
  <c r="Q152" i="7" l="1"/>
  <c r="N272" i="7"/>
  <c r="H114" i="7"/>
  <c r="H251" i="7" s="1"/>
  <c r="H33" i="7"/>
  <c r="K62" i="7"/>
  <c r="K94" i="7"/>
  <c r="F255" i="7"/>
  <c r="F273" i="7" s="1"/>
  <c r="M255" i="7"/>
  <c r="M273" i="7" s="1"/>
  <c r="Y255" i="7"/>
  <c r="Y273" i="7" s="1"/>
  <c r="P117" i="7"/>
  <c r="Z154" i="7"/>
  <c r="Z253" i="7" s="1"/>
  <c r="H230" i="7"/>
  <c r="Z202" i="7"/>
  <c r="J202" i="7"/>
  <c r="J201" i="7" s="1"/>
  <c r="Z35" i="7"/>
  <c r="U48" i="7"/>
  <c r="T234" i="7"/>
  <c r="P8" i="7"/>
  <c r="P35" i="7"/>
  <c r="P34" i="7" s="1"/>
  <c r="P33" i="7" s="1"/>
  <c r="U7" i="7"/>
  <c r="H20" i="7"/>
  <c r="T34" i="7"/>
  <c r="T33" i="7" s="1"/>
  <c r="U115" i="7"/>
  <c r="S62" i="7"/>
  <c r="H76" i="7"/>
  <c r="U77" i="7"/>
  <c r="P95" i="7"/>
  <c r="T94" i="7"/>
  <c r="T93" i="7" s="1"/>
  <c r="G152" i="7"/>
  <c r="P155" i="7"/>
  <c r="P254" i="7" s="1"/>
  <c r="U133" i="7"/>
  <c r="G272" i="7"/>
  <c r="S272" i="7"/>
  <c r="F185" i="7"/>
  <c r="J186" i="7"/>
  <c r="Z160" i="7"/>
  <c r="K158" i="7"/>
  <c r="Z175" i="7"/>
  <c r="AA175" i="7" s="1"/>
  <c r="K77" i="7"/>
  <c r="K76" i="7" s="1"/>
  <c r="O94" i="7"/>
  <c r="O93" i="7" s="1"/>
  <c r="P209" i="7"/>
  <c r="AB8" i="7"/>
  <c r="W152" i="7"/>
  <c r="J22" i="5"/>
  <c r="I22" i="5" s="1"/>
  <c r="X112" i="7"/>
  <c r="H7" i="7"/>
  <c r="R113" i="7"/>
  <c r="R250" i="7" s="1"/>
  <c r="R271" i="7" s="1"/>
  <c r="T113" i="7"/>
  <c r="T250" i="7" s="1"/>
  <c r="Z8" i="7"/>
  <c r="AA8" i="7" s="1"/>
  <c r="AA7" i="7" s="1"/>
  <c r="K114" i="7"/>
  <c r="K251" i="7" s="1"/>
  <c r="AB35" i="7"/>
  <c r="U34" i="7"/>
  <c r="U33" i="7" s="1"/>
  <c r="H115" i="7"/>
  <c r="H255" i="7" s="1"/>
  <c r="H273" i="7" s="1"/>
  <c r="H48" i="7"/>
  <c r="Y271" i="7"/>
  <c r="Y270" i="7" s="1"/>
  <c r="P78" i="7"/>
  <c r="T77" i="7"/>
  <c r="T76" i="7" s="1"/>
  <c r="Z78" i="7"/>
  <c r="Q94" i="7"/>
  <c r="Q93" i="7" s="1"/>
  <c r="Z94" i="7"/>
  <c r="Z93" i="7" s="1"/>
  <c r="O152" i="7"/>
  <c r="V152" i="7"/>
  <c r="L153" i="7"/>
  <c r="L252" i="7" s="1"/>
  <c r="K155" i="7"/>
  <c r="K254" i="7" s="1"/>
  <c r="AA155" i="7"/>
  <c r="AA254" i="7" s="1"/>
  <c r="L133" i="7"/>
  <c r="L132" i="7" s="1"/>
  <c r="X132" i="7"/>
  <c r="X152" i="7" s="1"/>
  <c r="F272" i="7"/>
  <c r="F270" i="7" s="1"/>
  <c r="G185" i="7"/>
  <c r="L185" i="7"/>
  <c r="N185" i="7"/>
  <c r="Q158" i="7"/>
  <c r="Q185" i="7" s="1"/>
  <c r="T159" i="7"/>
  <c r="T186" i="7" s="1"/>
  <c r="K186" i="7"/>
  <c r="U186" i="7"/>
  <c r="Z162" i="7"/>
  <c r="U174" i="7"/>
  <c r="Z179" i="7"/>
  <c r="J189" i="7"/>
  <c r="K230" i="7"/>
  <c r="U230" i="7"/>
  <c r="E201" i="7"/>
  <c r="E228" i="7" s="1"/>
  <c r="G201" i="7"/>
  <c r="Z206" i="7"/>
  <c r="P237" i="7"/>
  <c r="AA237" i="7" s="1"/>
  <c r="P242" i="7"/>
  <c r="K133" i="7"/>
  <c r="K132" i="7" s="1"/>
  <c r="E6" i="5"/>
  <c r="Z36" i="7"/>
  <c r="AB49" i="7"/>
  <c r="AA63" i="7"/>
  <c r="AA62" i="7" s="1"/>
  <c r="AA78" i="7"/>
  <c r="Z79" i="7"/>
  <c r="AA79" i="7" s="1"/>
  <c r="AA96" i="7"/>
  <c r="L272" i="7"/>
  <c r="L280" i="7" s="1"/>
  <c r="H117" i="7"/>
  <c r="F152" i="7"/>
  <c r="H155" i="7"/>
  <c r="H254" i="7" s="1"/>
  <c r="Z155" i="7"/>
  <c r="Z254" i="7" s="1"/>
  <c r="V255" i="7"/>
  <c r="V273" i="7" s="1"/>
  <c r="J185" i="7"/>
  <c r="Z164" i="7"/>
  <c r="P165" i="7"/>
  <c r="P166" i="7"/>
  <c r="S185" i="7"/>
  <c r="W185" i="7"/>
  <c r="K171" i="7"/>
  <c r="Z176" i="7"/>
  <c r="P177" i="7"/>
  <c r="P178" i="7"/>
  <c r="H183" i="7"/>
  <c r="T183" i="7" s="1"/>
  <c r="T189" i="7"/>
  <c r="Z193" i="7"/>
  <c r="P194" i="7"/>
  <c r="P198" i="7"/>
  <c r="H202" i="7"/>
  <c r="H205" i="7"/>
  <c r="H231" i="7" s="1"/>
  <c r="P208" i="7"/>
  <c r="AA209" i="7"/>
  <c r="P212" i="7"/>
  <c r="U215" i="7"/>
  <c r="P223" i="7"/>
  <c r="AA223" i="7"/>
  <c r="Z226" i="7"/>
  <c r="P227" i="7"/>
  <c r="J234" i="7"/>
  <c r="AA234" i="7"/>
  <c r="AA246" i="7" s="1"/>
  <c r="H233" i="7"/>
  <c r="H245" i="7" s="1"/>
  <c r="P241" i="7"/>
  <c r="AA241" i="7"/>
  <c r="K24" i="5"/>
  <c r="K22" i="5" s="1"/>
  <c r="Y112" i="7"/>
  <c r="Y249" i="7" s="1"/>
  <c r="Z20" i="7"/>
  <c r="AA114" i="7"/>
  <c r="AA251" i="7" s="1"/>
  <c r="K34" i="7"/>
  <c r="K33" i="7" s="1"/>
  <c r="AB36" i="7"/>
  <c r="S48" i="7"/>
  <c r="O62" i="7"/>
  <c r="P63" i="7"/>
  <c r="P62" i="7" s="1"/>
  <c r="U62" i="7"/>
  <c r="H62" i="7"/>
  <c r="O77" i="7"/>
  <c r="O76" i="7" s="1"/>
  <c r="U76" i="7"/>
  <c r="P79" i="7"/>
  <c r="P77" i="7" s="1"/>
  <c r="H93" i="7"/>
  <c r="K93" i="7"/>
  <c r="AA95" i="7"/>
  <c r="AA94" i="7" s="1"/>
  <c r="AA93" i="7" s="1"/>
  <c r="Z111" i="7"/>
  <c r="Z114" i="7" s="1"/>
  <c r="Z251" i="7" s="1"/>
  <c r="O114" i="7"/>
  <c r="O251" i="7" s="1"/>
  <c r="T115" i="7"/>
  <c r="L117" i="7"/>
  <c r="T117" i="7"/>
  <c r="AA154" i="7"/>
  <c r="AA253" i="7" s="1"/>
  <c r="N152" i="7"/>
  <c r="H187" i="7"/>
  <c r="R185" i="7"/>
  <c r="Z197" i="7"/>
  <c r="Z207" i="7"/>
  <c r="Z211" i="7"/>
  <c r="Z214" i="7"/>
  <c r="AA214" i="7" s="1"/>
  <c r="P230" i="7"/>
  <c r="K215" i="7"/>
  <c r="Z222" i="7"/>
  <c r="Z244" i="7"/>
  <c r="J112" i="7"/>
  <c r="Z48" i="7"/>
  <c r="AA49" i="7"/>
  <c r="AA48" i="7" s="1"/>
  <c r="Z184" i="7"/>
  <c r="P184" i="7"/>
  <c r="U112" i="7"/>
  <c r="Z191" i="7"/>
  <c r="J7" i="7"/>
  <c r="AB21" i="7"/>
  <c r="E152" i="7"/>
  <c r="J152" i="7" s="1"/>
  <c r="N280" i="7"/>
  <c r="H158" i="7"/>
  <c r="P172" i="7"/>
  <c r="Z172" i="7"/>
  <c r="T171" i="7"/>
  <c r="Z180" i="7"/>
  <c r="P180" i="7"/>
  <c r="AA230" i="7"/>
  <c r="Z195" i="7"/>
  <c r="P195" i="7"/>
  <c r="AA195" i="7"/>
  <c r="P236" i="7"/>
  <c r="Z236" i="7"/>
  <c r="T7" i="7"/>
  <c r="Q113" i="7"/>
  <c r="Q250" i="7" s="1"/>
  <c r="Q271" i="7" s="1"/>
  <c r="G271" i="7"/>
  <c r="G270" i="7" s="1"/>
  <c r="W271" i="7"/>
  <c r="Q255" i="7"/>
  <c r="Q273" i="7" s="1"/>
  <c r="L281" i="7" s="1"/>
  <c r="U255" i="7"/>
  <c r="U273" i="7" s="1"/>
  <c r="M150" i="7"/>
  <c r="M152" i="7" s="1"/>
  <c r="U117" i="7"/>
  <c r="K187" i="7"/>
  <c r="Z168" i="7"/>
  <c r="P168" i="7"/>
  <c r="P170" i="7"/>
  <c r="AA170" i="7"/>
  <c r="H186" i="7"/>
  <c r="H171" i="7"/>
  <c r="P181" i="7"/>
  <c r="Z181" i="7"/>
  <c r="Y192" i="7"/>
  <c r="P192" i="7"/>
  <c r="Z213" i="7"/>
  <c r="P213" i="7"/>
  <c r="H215" i="7"/>
  <c r="U233" i="7"/>
  <c r="U245" i="7" s="1"/>
  <c r="G112" i="7"/>
  <c r="G249" i="7" s="1"/>
  <c r="M110" i="7"/>
  <c r="M113" i="7" s="1"/>
  <c r="M250" i="7" s="1"/>
  <c r="M271" i="7" s="1"/>
  <c r="M279" i="7" s="1"/>
  <c r="Q7" i="7"/>
  <c r="K7" i="7"/>
  <c r="K20" i="7"/>
  <c r="O20" i="7"/>
  <c r="S20" i="7"/>
  <c r="W112" i="7"/>
  <c r="AA35" i="7"/>
  <c r="Z34" i="7"/>
  <c r="Z33" i="7" s="1"/>
  <c r="Q48" i="7"/>
  <c r="Z62" i="7"/>
  <c r="AB63" i="7"/>
  <c r="R77" i="7"/>
  <c r="R76" i="7" s="1"/>
  <c r="R112" i="7" s="1"/>
  <c r="AB78" i="7"/>
  <c r="S94" i="7"/>
  <c r="S93" i="7" s="1"/>
  <c r="P96" i="7"/>
  <c r="P115" i="7" s="1"/>
  <c r="AB96" i="7"/>
  <c r="L110" i="7"/>
  <c r="L112" i="7" s="1"/>
  <c r="H113" i="7"/>
  <c r="H250" i="7" s="1"/>
  <c r="H271" i="7" s="1"/>
  <c r="R255" i="7"/>
  <c r="R273" i="7" s="1"/>
  <c r="M281" i="7" s="1"/>
  <c r="AB115" i="7"/>
  <c r="R152" i="7"/>
  <c r="Z118" i="7"/>
  <c r="T153" i="7"/>
  <c r="T252" i="7" s="1"/>
  <c r="T272" i="7" s="1"/>
  <c r="W272" i="7"/>
  <c r="H154" i="7"/>
  <c r="H253" i="7" s="1"/>
  <c r="H272" i="7" s="1"/>
  <c r="Z159" i="7"/>
  <c r="O187" i="7"/>
  <c r="T161" i="7"/>
  <c r="Z167" i="7"/>
  <c r="P169" i="7"/>
  <c r="Z169" i="7"/>
  <c r="H189" i="7"/>
  <c r="I204" i="7"/>
  <c r="I230" i="7" s="1"/>
  <c r="Z224" i="7"/>
  <c r="P224" i="7"/>
  <c r="AA224" i="7"/>
  <c r="P225" i="7"/>
  <c r="Z225" i="7"/>
  <c r="T247" i="7"/>
  <c r="Z115" i="7"/>
  <c r="AA36" i="7"/>
  <c r="AA115" i="7" s="1"/>
  <c r="J133" i="7"/>
  <c r="J6" i="7" s="1"/>
  <c r="H133" i="7"/>
  <c r="H132" i="7" s="1"/>
  <c r="H152" i="7" s="1"/>
  <c r="K185" i="7"/>
  <c r="AA196" i="7"/>
  <c r="P196" i="7"/>
  <c r="Z196" i="7"/>
  <c r="F112" i="7"/>
  <c r="F249" i="7" s="1"/>
  <c r="P7" i="7"/>
  <c r="U113" i="7"/>
  <c r="U250" i="7" s="1"/>
  <c r="P21" i="7"/>
  <c r="P20" i="7" s="1"/>
  <c r="K115" i="7"/>
  <c r="K255" i="7" s="1"/>
  <c r="K273" i="7" s="1"/>
  <c r="Q62" i="7"/>
  <c r="Z77" i="7"/>
  <c r="Z76" i="7" s="1"/>
  <c r="N110" i="7"/>
  <c r="V112" i="7"/>
  <c r="V249" i="7" s="1"/>
  <c r="U114" i="7"/>
  <c r="U251" i="7" s="1"/>
  <c r="AA21" i="7"/>
  <c r="T114" i="7"/>
  <c r="P88" i="7"/>
  <c r="AB95" i="7"/>
  <c r="O110" i="7"/>
  <c r="O113" i="7" s="1"/>
  <c r="O250" i="7" s="1"/>
  <c r="S113" i="7"/>
  <c r="S152" i="7"/>
  <c r="U153" i="7"/>
  <c r="U252" i="7" s="1"/>
  <c r="P135" i="7"/>
  <c r="P156" i="7" s="1"/>
  <c r="T156" i="7"/>
  <c r="T255" i="7" s="1"/>
  <c r="T273" i="7" s="1"/>
  <c r="O281" i="7" s="1"/>
  <c r="Z135" i="7"/>
  <c r="Z133" i="7" s="1"/>
  <c r="L150" i="7"/>
  <c r="K150" i="7" s="1"/>
  <c r="R272" i="7"/>
  <c r="Z163" i="7"/>
  <c r="AA163" i="7" s="1"/>
  <c r="Z182" i="7"/>
  <c r="AA182" i="7" s="1"/>
  <c r="AA171" i="7" s="1"/>
  <c r="Z230" i="7"/>
  <c r="P238" i="7"/>
  <c r="P243" i="7"/>
  <c r="H247" i="7"/>
  <c r="U247" i="7"/>
  <c r="V272" i="7"/>
  <c r="V270" i="7" s="1"/>
  <c r="N255" i="7"/>
  <c r="N273" i="7" s="1"/>
  <c r="N281" i="7" s="1"/>
  <c r="K118" i="7"/>
  <c r="U155" i="7"/>
  <c r="U254" i="7" s="1"/>
  <c r="T132" i="7"/>
  <c r="T152" i="7" s="1"/>
  <c r="P134" i="7"/>
  <c r="P153" i="7" s="1"/>
  <c r="P252" i="7" s="1"/>
  <c r="X154" i="7"/>
  <c r="X253" i="7" s="1"/>
  <c r="X272" i="7" s="1"/>
  <c r="X270" i="7" s="1"/>
  <c r="U146" i="7"/>
  <c r="U154" i="7" s="1"/>
  <c r="U253" i="7" s="1"/>
  <c r="K151" i="7"/>
  <c r="K154" i="7" s="1"/>
  <c r="E272" i="7"/>
  <c r="E270" i="7" s="1"/>
  <c r="O154" i="7"/>
  <c r="O253" i="7" s="1"/>
  <c r="O272" i="7" s="1"/>
  <c r="AB155" i="7"/>
  <c r="U171" i="7"/>
  <c r="P174" i="7"/>
  <c r="E185" i="7"/>
  <c r="O231" i="7"/>
  <c r="K192" i="7"/>
  <c r="K189" i="7" s="1"/>
  <c r="O189" i="7"/>
  <c r="T217" i="7"/>
  <c r="P221" i="7"/>
  <c r="Z221" i="7"/>
  <c r="T246" i="7"/>
  <c r="T233" i="7"/>
  <c r="T245" i="7" s="1"/>
  <c r="AA236" i="7"/>
  <c r="Z239" i="7"/>
  <c r="Z247" i="7" s="1"/>
  <c r="P239" i="7"/>
  <c r="AA239" i="7"/>
  <c r="AA240" i="7"/>
  <c r="P240" i="7"/>
  <c r="Z240" i="7"/>
  <c r="P154" i="7"/>
  <c r="P253" i="7" s="1"/>
  <c r="M272" i="7"/>
  <c r="X185" i="7"/>
  <c r="K231" i="7"/>
  <c r="P202" i="7"/>
  <c r="Q201" i="7"/>
  <c r="U201" i="7"/>
  <c r="AA210" i="7"/>
  <c r="P210" i="7"/>
  <c r="Z210" i="7"/>
  <c r="J246" i="7"/>
  <c r="J233" i="7"/>
  <c r="J245" i="7" s="1"/>
  <c r="K247" i="7"/>
  <c r="P197" i="7"/>
  <c r="P207" i="7"/>
  <c r="P211" i="7"/>
  <c r="P222" i="7"/>
  <c r="P234" i="7"/>
  <c r="P235" i="7"/>
  <c r="AA235" i="7" s="1"/>
  <c r="T205" i="7"/>
  <c r="P205" i="7" s="1"/>
  <c r="Z205" i="7" s="1"/>
  <c r="K233" i="7"/>
  <c r="K245" i="7" s="1"/>
  <c r="F15" i="5"/>
  <c r="E11" i="5"/>
  <c r="C11" i="5"/>
  <c r="D8" i="5"/>
  <c r="E8" i="5" s="1"/>
  <c r="D10" i="5" s="1"/>
  <c r="D12" i="5"/>
  <c r="H112" i="7" l="1"/>
  <c r="AA77" i="7"/>
  <c r="AA76" i="7" s="1"/>
  <c r="X249" i="7"/>
  <c r="AA201" i="7"/>
  <c r="H201" i="7"/>
  <c r="Z174" i="7"/>
  <c r="P272" i="7"/>
  <c r="P281" i="7"/>
  <c r="R270" i="7"/>
  <c r="O271" i="7"/>
  <c r="O270" i="7" s="1"/>
  <c r="Z7" i="7"/>
  <c r="P94" i="7"/>
  <c r="P93" i="7" s="1"/>
  <c r="T158" i="7"/>
  <c r="T185" i="7" s="1"/>
  <c r="P159" i="7"/>
  <c r="P186" i="7" s="1"/>
  <c r="AB153" i="7"/>
  <c r="R249" i="7"/>
  <c r="W249" i="7"/>
  <c r="T112" i="7"/>
  <c r="U272" i="7"/>
  <c r="U132" i="7"/>
  <c r="U152" i="7" s="1"/>
  <c r="U249" i="7" s="1"/>
  <c r="P76" i="7"/>
  <c r="P255" i="7"/>
  <c r="P273" i="7" s="1"/>
  <c r="S112" i="7"/>
  <c r="S249" i="7" s="1"/>
  <c r="W270" i="7"/>
  <c r="P189" i="7"/>
  <c r="M112" i="7"/>
  <c r="M249" i="7" s="1"/>
  <c r="O112" i="7"/>
  <c r="O249" i="7" s="1"/>
  <c r="P183" i="7"/>
  <c r="Z183" i="7"/>
  <c r="K253" i="7"/>
  <c r="AB154" i="7"/>
  <c r="AC154" i="7" s="1"/>
  <c r="P233" i="7"/>
  <c r="P245" i="7" s="1"/>
  <c r="P246" i="7"/>
  <c r="N113" i="7"/>
  <c r="N250" i="7" s="1"/>
  <c r="N271" i="7" s="1"/>
  <c r="N270" i="7" s="1"/>
  <c r="Z110" i="7"/>
  <c r="Z113" i="7" s="1"/>
  <c r="Z250" i="7" s="1"/>
  <c r="Z271" i="7" s="1"/>
  <c r="AA247" i="7"/>
  <c r="P171" i="7"/>
  <c r="AA233" i="7"/>
  <c r="AA245" i="7" s="1"/>
  <c r="T215" i="7"/>
  <c r="P217" i="7"/>
  <c r="P215" i="7" s="1"/>
  <c r="AA187" i="7"/>
  <c r="AA158" i="7"/>
  <c r="AA185" i="7" s="1"/>
  <c r="T251" i="7"/>
  <c r="T271" i="7" s="1"/>
  <c r="AB114" i="7"/>
  <c r="U271" i="7"/>
  <c r="U270" i="7" s="1"/>
  <c r="O280" i="7"/>
  <c r="P280" i="7" s="1"/>
  <c r="AA34" i="7"/>
  <c r="AA33" i="7" s="1"/>
  <c r="Q112" i="7"/>
  <c r="Q249" i="7" s="1"/>
  <c r="Z192" i="7"/>
  <c r="Z189" i="7" s="1"/>
  <c r="Z233" i="7"/>
  <c r="Z245" i="7" s="1"/>
  <c r="H185" i="7"/>
  <c r="P113" i="7"/>
  <c r="P250" i="7" s="1"/>
  <c r="Z201" i="7"/>
  <c r="P201" i="7"/>
  <c r="T201" i="7"/>
  <c r="K117" i="7"/>
  <c r="K152" i="7" s="1"/>
  <c r="K153" i="7"/>
  <c r="K252" i="7" s="1"/>
  <c r="M280" i="7"/>
  <c r="AA113" i="7"/>
  <c r="AA250" i="7" s="1"/>
  <c r="AA271" i="7" s="1"/>
  <c r="AA20" i="7"/>
  <c r="Z153" i="7"/>
  <c r="Z252" i="7" s="1"/>
  <c r="Z272" i="7" s="1"/>
  <c r="Z117" i="7"/>
  <c r="AA118" i="7"/>
  <c r="H270" i="7"/>
  <c r="P114" i="7"/>
  <c r="P251" i="7" s="1"/>
  <c r="M270" i="7"/>
  <c r="M278" i="7" s="1"/>
  <c r="U192" i="7"/>
  <c r="Y231" i="7"/>
  <c r="Y189" i="7"/>
  <c r="Q270" i="7"/>
  <c r="L152" i="7"/>
  <c r="L249" i="7" s="1"/>
  <c r="Z231" i="7"/>
  <c r="AA191" i="7"/>
  <c r="E249" i="7"/>
  <c r="J249" i="7" s="1"/>
  <c r="AA135" i="7"/>
  <c r="Z156" i="7"/>
  <c r="Z255" i="7" s="1"/>
  <c r="Z273" i="7" s="1"/>
  <c r="S250" i="7"/>
  <c r="S271" i="7" s="1"/>
  <c r="P161" i="7"/>
  <c r="Y161" i="7"/>
  <c r="T187" i="7"/>
  <c r="Z186" i="7"/>
  <c r="P247" i="7"/>
  <c r="Z132" i="7"/>
  <c r="P133" i="7"/>
  <c r="P132" i="7" s="1"/>
  <c r="P152" i="7" s="1"/>
  <c r="N112" i="7"/>
  <c r="N249" i="7" s="1"/>
  <c r="T231" i="7"/>
  <c r="AB156" i="7"/>
  <c r="AB255" i="7" s="1"/>
  <c r="L113" i="7"/>
  <c r="L250" i="7" s="1"/>
  <c r="L271" i="7" s="1"/>
  <c r="L270" i="7" s="1"/>
  <c r="K110" i="7"/>
  <c r="K113" i="7" s="1"/>
  <c r="K250" i="7" s="1"/>
  <c r="K271" i="7" s="1"/>
  <c r="T249" i="7"/>
  <c r="H249" i="7"/>
  <c r="D13" i="5"/>
  <c r="D15" i="5" s="1"/>
  <c r="E10" i="5"/>
  <c r="E15" i="5"/>
  <c r="G15" i="5"/>
  <c r="E12" i="5"/>
  <c r="G20" i="5" s="1"/>
  <c r="F11" i="5"/>
  <c r="G11" i="5" s="1"/>
  <c r="G9" i="5" s="1"/>
  <c r="I9" i="5" s="1"/>
  <c r="F20" i="5"/>
  <c r="F19" i="5" s="1"/>
  <c r="AA112" i="7" l="1"/>
  <c r="P112" i="7"/>
  <c r="Z171" i="7"/>
  <c r="G19" i="5"/>
  <c r="AB113" i="7"/>
  <c r="AB112" i="7" s="1"/>
  <c r="K272" i="7"/>
  <c r="L279" i="7"/>
  <c r="L278" i="7"/>
  <c r="P187" i="7"/>
  <c r="S270" i="7"/>
  <c r="N278" i="7" s="1"/>
  <c r="N279" i="7"/>
  <c r="AA231" i="7"/>
  <c r="AA189" i="7"/>
  <c r="P249" i="7"/>
  <c r="Z270" i="7"/>
  <c r="K270" i="7"/>
  <c r="P158" i="7"/>
  <c r="P185" i="7" s="1"/>
  <c r="U231" i="7"/>
  <c r="U189" i="7"/>
  <c r="AA117" i="7"/>
  <c r="AA153" i="7"/>
  <c r="AA252" i="7" s="1"/>
  <c r="AA272" i="7" s="1"/>
  <c r="Z112" i="7"/>
  <c r="AA156" i="7"/>
  <c r="AA255" i="7" s="1"/>
  <c r="AA273" i="7" s="1"/>
  <c r="AA133" i="7"/>
  <c r="AA132" i="7" s="1"/>
  <c r="Z152" i="7"/>
  <c r="P231" i="7"/>
  <c r="AB152" i="7"/>
  <c r="O279" i="7"/>
  <c r="T270" i="7"/>
  <c r="O278" i="7" s="1"/>
  <c r="K112" i="7"/>
  <c r="K249" i="7" s="1"/>
  <c r="U161" i="7"/>
  <c r="Y187" i="7"/>
  <c r="Y158" i="7"/>
  <c r="Y185" i="7" s="1"/>
  <c r="P271" i="7"/>
  <c r="P270" i="7" s="1"/>
  <c r="E20" i="5"/>
  <c r="E19" i="5" s="1"/>
  <c r="E13" i="5"/>
  <c r="H17" i="5"/>
  <c r="F17" i="5" s="1"/>
  <c r="H16" i="5"/>
  <c r="F16" i="5" s="1"/>
  <c r="H18" i="5"/>
  <c r="F18" i="5" s="1"/>
  <c r="AB249" i="7" l="1"/>
  <c r="AA270" i="7"/>
  <c r="P279" i="7"/>
  <c r="U187" i="7"/>
  <c r="U158" i="7"/>
  <c r="U185" i="7" s="1"/>
  <c r="AA152" i="7"/>
  <c r="AA249" i="7" s="1"/>
  <c r="AC249" i="7" s="1"/>
  <c r="Z161" i="7"/>
  <c r="Z249" i="7"/>
  <c r="P278" i="7"/>
  <c r="E17" i="5"/>
  <c r="G18" i="5"/>
  <c r="E18" i="5"/>
  <c r="G16" i="5"/>
  <c r="E16" i="5"/>
  <c r="G17" i="5"/>
  <c r="C3" i="5"/>
  <c r="C9" i="5" s="1"/>
  <c r="Z187" i="7" l="1"/>
  <c r="Z158" i="7"/>
  <c r="Z185" i="7" s="1"/>
  <c r="D3" i="5"/>
  <c r="C13" i="16" l="1"/>
  <c r="C14" i="16" s="1"/>
  <c r="B13" i="16" l="1"/>
  <c r="E13" i="16" l="1"/>
  <c r="E14" i="16" s="1"/>
  <c r="B14" i="16"/>
</calcChain>
</file>

<file path=xl/sharedStrings.xml><?xml version="1.0" encoding="utf-8"?>
<sst xmlns="http://schemas.openxmlformats.org/spreadsheetml/2006/main" count="2828" uniqueCount="770">
  <si>
    <t>ул. Молодежная, участок 1</t>
  </si>
  <si>
    <t>Инженерные изыскания</t>
  </si>
  <si>
    <t>ул. Геологов, участок 2</t>
  </si>
  <si>
    <t>ул. Молодежная, участок 4</t>
  </si>
  <si>
    <t>ул. Геологов, участок 5</t>
  </si>
  <si>
    <t>ул. Совхозная, 24</t>
  </si>
  <si>
    <t>пер. Больничный</t>
  </si>
  <si>
    <t>ул. Совхозная, 26</t>
  </si>
  <si>
    <t>Архитектурный проект</t>
  </si>
  <si>
    <t>ул. Молодежная, участок 6</t>
  </si>
  <si>
    <t>Предпроектные решения</t>
  </si>
  <si>
    <t>Проектные работы</t>
  </si>
  <si>
    <t>ТП электроснабжение</t>
  </si>
  <si>
    <t>ТП водоотведение</t>
  </si>
  <si>
    <t>ТП тепло</t>
  </si>
  <si>
    <t>ТП хол. водоснабжение</t>
  </si>
  <si>
    <t>ул. Молодежная -
Геологов, участок 3</t>
  </si>
  <si>
    <t>ИТОГО по II ЭТАПУ</t>
  </si>
  <si>
    <t>II этап (2014-2015)</t>
  </si>
  <si>
    <t>I этап (2013-2014)</t>
  </si>
  <si>
    <t>Авторский надзор</t>
  </si>
  <si>
    <t>Рабоч.док. Наруж. теплос.</t>
  </si>
  <si>
    <t>Кадастровые работы</t>
  </si>
  <si>
    <t>Гос. экспертиза</t>
  </si>
  <si>
    <t>Разработка проектной докум.</t>
  </si>
  <si>
    <t>ВСЕГО 1 и 2 этапы:</t>
  </si>
  <si>
    <t>КОСГУ</t>
  </si>
  <si>
    <t xml:space="preserve">Сумма контракта </t>
  </si>
  <si>
    <t>Наименование объекта, виды работ</t>
  </si>
  <si>
    <t>Реквизиты контракта</t>
  </si>
  <si>
    <t>№</t>
  </si>
  <si>
    <t>2</t>
  </si>
  <si>
    <t>Строительно - монтажные работы</t>
  </si>
  <si>
    <t xml:space="preserve">Информация по I и II этапу   реализации региональной адресной программы по переселению граждан из аварийного жилищного фонда </t>
  </si>
  <si>
    <t>1</t>
  </si>
  <si>
    <t>1.10</t>
  </si>
  <si>
    <t>3</t>
  </si>
  <si>
    <t>4.</t>
  </si>
  <si>
    <t>5.</t>
  </si>
  <si>
    <t>7.</t>
  </si>
  <si>
    <t>6.</t>
  </si>
  <si>
    <t>3.</t>
  </si>
  <si>
    <t>дата, номер, подрядчик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</si>
  <si>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</si>
  <si>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</si>
  <si>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</si>
  <si>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</si>
  <si>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</si>
  <si>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</si>
  <si>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</si>
  <si>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</si>
  <si>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</si>
  <si>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</si>
  <si>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</si>
  <si>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</si>
  <si>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</si>
  <si>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</si>
  <si>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</si>
  <si>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</si>
  <si>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</si>
  <si>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</si>
  <si>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</si>
  <si>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</si>
  <si>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</si>
  <si>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</si>
  <si>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</si>
  <si>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</si>
  <si>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</si>
  <si>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</si>
  <si>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</si>
  <si>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</si>
  <si>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</si>
  <si>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</si>
  <si>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</si>
  <si>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</si>
  <si>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</si>
  <si>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</si>
  <si>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</si>
  <si>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</si>
  <si>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</si>
  <si>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</si>
  <si>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</si>
  <si>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</si>
  <si>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</si>
  <si>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</si>
  <si>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</si>
  <si>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</si>
  <si>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</si>
  <si>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</si>
  <si>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</si>
  <si>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</si>
  <si>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</si>
  <si>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</si>
  <si>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</si>
  <si>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</si>
  <si>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</si>
  <si>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</si>
  <si>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</si>
  <si>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</si>
  <si>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</si>
  <si>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</si>
  <si>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</si>
  <si>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</si>
  <si>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</si>
  <si>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</si>
  <si>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</si>
  <si>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</si>
  <si>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</si>
  <si>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</si>
  <si>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</si>
  <si>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</si>
  <si>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</si>
  <si>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</si>
  <si>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</si>
  <si>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</si>
  <si>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</si>
  <si>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</si>
  <si>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</si>
  <si>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1.11</t>
  </si>
  <si>
    <t>1.12</t>
  </si>
  <si>
    <t>2.11</t>
  </si>
  <si>
    <t>2.12</t>
  </si>
  <si>
    <t>2.13</t>
  </si>
  <si>
    <t>05.06.2014, №0307300008614000226-0065801-01, ОАО ПСФ "Ухтажилстройпроект"</t>
  </si>
  <si>
    <t>11.06.2014, №0307300008614000328-0065801-01, ОАО ПСФ "Ухтажилстройпроект"</t>
  </si>
  <si>
    <t>30.09.2014, №16, ОАО ПСФ "Ухтажилстройпроект"</t>
  </si>
  <si>
    <t>30.09.2014, №17, ОАО ПСФ "Ухтажилстройпроект"</t>
  </si>
  <si>
    <t>30.09.2014, №18, ОАО ПСФ "Ухтажилстройпроект"</t>
  </si>
  <si>
    <t>30.09.2014, №19, ОАО ПСФ "Ухтажилстройпроект"</t>
  </si>
  <si>
    <t>30.09.2014, №20, ОАО ПСФ "Ухтажилстройпроект"</t>
  </si>
  <si>
    <t>30.09.2014, №21, ОАО ПСФ "Ухтажилстройпроект"</t>
  </si>
  <si>
    <t>01.10.2014, №15, ОАО ПСФ "Ухтажилстройпроект"</t>
  </si>
  <si>
    <t>30.10.2014, №0307300008614000932-0065801-01, ОАО ПСФ "Ухтажилстройпроект"</t>
  </si>
  <si>
    <t>31.12.2013, №0307300008613000626-0065801-01, ОАО ПСФ "Ухтажилстройпроект"</t>
  </si>
  <si>
    <t>25.08.2014, №56-02801Ц/14, ОАО "МРСК Северо-запада"</t>
  </si>
  <si>
    <t>25.08.2014, №56-02822Ц/14, ОАО "МРСК Северо-запада"</t>
  </si>
  <si>
    <t>29.08.2014, №56-02793Ц/14, ОАО "МРСК Северо-запада"</t>
  </si>
  <si>
    <t>29.08.2014, №56-02792Ц/14, ОАО "МРСК Северо-запада"</t>
  </si>
  <si>
    <t>29.08.2014, №56-02790Ц/14, ОАО "МРСК Северо-запада"</t>
  </si>
  <si>
    <t>29.08.2014, №56-02655Ц/14, ОАО "МРСК Северо-запада"</t>
  </si>
  <si>
    <t>29.08.2014, №56-02820Ц/14, ОАО "МРСК Северо-запада"</t>
  </si>
  <si>
    <t>25.09.2014, №21-08/14-К, МУП "Ухтаводоканал"</t>
  </si>
  <si>
    <t>25.09.2014, №22-08/14-К, МУП "Ухтаводоканал"</t>
  </si>
  <si>
    <t>25.09.2014, №23-08/14-К, МУП "Ухтаводоканал"</t>
  </si>
  <si>
    <t>25.09.2014, №24-08/14-К, МУП "Ухтаводоканал"</t>
  </si>
  <si>
    <t>25.09.2014, №25-08/14-К, МУП "Ухтаводоканал"</t>
  </si>
  <si>
    <t>25.09.2014, №28-08/14-К, МУП "Ухтаводоканал"</t>
  </si>
  <si>
    <t>25.09.2014, №29-08/14-К, МУП "Ухтаводоканал"</t>
  </si>
  <si>
    <t>25.09.2014, №22-08/14-В, МУП "Ухтаводоканал"</t>
  </si>
  <si>
    <t>25.09.2014, №23-08/14-В, МУП "Ухтаводоканал"</t>
  </si>
  <si>
    <t>26.09.2014, №24-08/14-В, МУП "Ухтаводоканал"</t>
  </si>
  <si>
    <t>26.09.2014, №25-08/14-В, МУП "Ухтаводоканал"</t>
  </si>
  <si>
    <t>26.09.2014, №29-08/14-В, МУП "Ухтаводоканал"</t>
  </si>
  <si>
    <t>01.12.2014, №56-03768Ц/14, ОАО "МРСК Северо-запада"</t>
  </si>
  <si>
    <t>01.12.2014, №56-03748Ц/14, ОАО "МРСК Северо-запада"</t>
  </si>
  <si>
    <t>18.12.2014, №132, АУ РК "Управление государственной экспертизы РК"</t>
  </si>
  <si>
    <t>23.12.2014, №133, АУ РК "Управление государственной экспертизы РК"</t>
  </si>
  <si>
    <t>29.12.2014, №56-11/14-В, МУП "Ухтаводоканал"</t>
  </si>
  <si>
    <t>29.12.2014, №57-11/14-В, МУП "Ухтаводоканал"</t>
  </si>
  <si>
    <t>29.12.2014, №57-11/14-К, МУП "Ухтаводоканал"</t>
  </si>
  <si>
    <t>29.12.2014, №59-11/14-В, МУП "Ухтаводоканал"</t>
  </si>
  <si>
    <t>29.12.2014, №62-12/14-К, МУП "Ухтаводоканал"</t>
  </si>
  <si>
    <t>29.12.2014, №62-11/14-В, МУП "Ухтаводоканал"</t>
  </si>
  <si>
    <t>05.02.2015, №УТС-33/2014, ОАО "Волжская ТГК"</t>
  </si>
  <si>
    <t>05.02.2015, №УТС-34/2014, ОАО "Волжская ТГК"</t>
  </si>
  <si>
    <t>15.10.2013, № 0307300008613000402-0065801-03, ОАО "Ухтагорпроект"</t>
  </si>
  <si>
    <t>27.12.2013, №0307300008613000635-0065801-01, ИП Шагако А.В.</t>
  </si>
  <si>
    <t>17.02.2014, №3, ОАО ПСФ "Ухтажилстройпроект"</t>
  </si>
  <si>
    <t>08.10.2013, №0307300008613000400-0065801-02, ООО "Миртуй"</t>
  </si>
  <si>
    <t>30.04.2014, №4, ОАО ПСФ "Ухтажилстройпроект"</t>
  </si>
  <si>
    <t>24.07.2014, №9, ИП Кривушев</t>
  </si>
  <si>
    <t>11.12.2014, №1631.14-С2, ОАО ПСФ "Ухтажилстройпроект"</t>
  </si>
  <si>
    <t>11.12.2014, №1641.14-М6тс., ОАО ПСФ "Ухтажилстройпроект"</t>
  </si>
  <si>
    <t>11.12.2014, №1617.14-С1тс., ОАО ПСФ "Ухтажилстройпроект"</t>
  </si>
  <si>
    <t>11.12.2014, №1641.14-М6., ОАО ПСФ "Ухтажилстройпроект"</t>
  </si>
  <si>
    <t>11.12.2014, №1617.14-Бтс., ОАО ПСФ "Ухтажилстройпроект"</t>
  </si>
  <si>
    <t>11.12.2014, №1631.14-С2тс., ОАО ПСФ "Ухтажилстройпроект"</t>
  </si>
  <si>
    <t>01.10.2013, №1591.13, ОАО ПСФ "Ухтажилстройпроект"</t>
  </si>
  <si>
    <t>01.10.2013, №1590.13, ОАО ПСФ "Ухтажилстройпроект"</t>
  </si>
  <si>
    <t>01.10.2013, №1589.13, ОАО ПСФ "Ухтажилстройпроект"</t>
  </si>
  <si>
    <t>29.08.2014, №13, ООО "Оникс"</t>
  </si>
  <si>
    <t>29.08.2014, №14, ООО "Оникс"</t>
  </si>
  <si>
    <t>в рамках 2 этапа</t>
  </si>
  <si>
    <t>в рамказ 3 этапа</t>
  </si>
  <si>
    <t>Строительно - монтажные работы, в т.ч.:</t>
  </si>
  <si>
    <t>Площадь строительства</t>
  </si>
  <si>
    <t xml:space="preserve">Стоимость 1 кв. метра </t>
  </si>
  <si>
    <t>ФБ</t>
  </si>
  <si>
    <t>РБ</t>
  </si>
  <si>
    <t>МБ</t>
  </si>
  <si>
    <t>Расход</t>
  </si>
  <si>
    <t>11а</t>
  </si>
  <si>
    <t>МБ
доп.средства</t>
  </si>
  <si>
    <t>1 этап</t>
  </si>
  <si>
    <t>3 этап</t>
  </si>
  <si>
    <t>2 этап</t>
  </si>
  <si>
    <t>15а</t>
  </si>
  <si>
    <t>Лимиты на 2015,
 в том числе</t>
  </si>
  <si>
    <t>Потребность в лимитах
 на 2015,
 в том числе</t>
  </si>
  <si>
    <t>8а</t>
  </si>
  <si>
    <t>9а</t>
  </si>
  <si>
    <t>10а</t>
  </si>
  <si>
    <t>11аб</t>
  </si>
  <si>
    <t>ПРОВЕРКА</t>
  </si>
  <si>
    <t>30.06.2014, №0307300008614000368-0065801-01, ОоО ПСФ "Ухтажилстройпроект"</t>
  </si>
  <si>
    <t>18.03.2015, №1641.15АН, ООО ПСФ "Ухтажилстройпроект"</t>
  </si>
  <si>
    <t>12.03.2015, №1631.15АН, ООО ПСФ "Ухтажилстройпроект"</t>
  </si>
  <si>
    <t>11.08.2015, № УМРГ-216/13-ПТО, ОА "Газпром газораспределение Сыктывкар"</t>
  </si>
  <si>
    <t>Строительный контроль за осуществлением работ по строительству газораспределительной сети</t>
  </si>
  <si>
    <t>11.08.2015, № УМРГ-217/13-ПТО, ОА "Газпром газораспределение Сыктывкар"</t>
  </si>
  <si>
    <t>3.11</t>
  </si>
  <si>
    <t>11.08.2015, № УМРГ-218/13-ПТО, ОА "Газпром газораспределение Сыктывкар"</t>
  </si>
  <si>
    <t>4.12</t>
  </si>
  <si>
    <t>11.08.2015, № УМРГ-219/13-ПТО, ОА "Газпром газораспределение Сыктывкар"</t>
  </si>
  <si>
    <t>5.12</t>
  </si>
  <si>
    <t>11.08.2015, № УМРГ-220/13-ПТО, ОА "Газпром газораспределение Сыктывкар"</t>
  </si>
  <si>
    <t>6.13</t>
  </si>
  <si>
    <t>11.08.2015, № УМРГ-221/13-ПТО, ОА "Газпром газораспределение Сыктывкар"</t>
  </si>
  <si>
    <t>7.13</t>
  </si>
  <si>
    <t>11.08.2015, № УМРГ-222/13-ПТО, ОА "Газпром газораспределение Сыктывкар"</t>
  </si>
  <si>
    <t>1.13</t>
  </si>
  <si>
    <t>11.08.2015, № УМРГ-223/13-ПТО, ОА "Газпром газораспределение Сыктывкар"</t>
  </si>
  <si>
    <t>2.14</t>
  </si>
  <si>
    <t>11.08.2015, № УМРГ-224/13-ПТО, ОА "Газпром газораспределение Сыктывкар"</t>
  </si>
  <si>
    <t>9.</t>
  </si>
  <si>
    <t>Нераспределенные лимиты 2 этапа</t>
  </si>
  <si>
    <t>ИТОГО по 7 домам I ЭТАПА, в т.ч.:</t>
  </si>
  <si>
    <t>Нераспределенные лимиты 1 этапа
высбодившиеся при внесении изменений в республиканскую программу от 11.03.2015 г. № 109</t>
  </si>
  <si>
    <t>24.09.2014, №УТС-2/2014, ОАО "ТГК №9" - Ф-л "Коми"ПАО "Т Плюс</t>
  </si>
  <si>
    <t>24.09.2014, №УТС-5/2014, ОАО "ТГК №9" - Ф-л "Коми"ПАО "Т Плюс</t>
  </si>
  <si>
    <t>24.09.2014, №УТС-6/2014, ОАО "ТГК №9" - Ф-л "Коми"ПАО "Т Плюс</t>
  </si>
  <si>
    <t>24.09.2014, №УТС-7/2014, ОАО "ТГК №9" -  Ф-л "Коми"ПАО "Т Плюс</t>
  </si>
  <si>
    <t>24.09.2014, №УТС-8/2014, ОАО "ТГК №9" - Ф-л "Коми"ПАО "Т Плюс</t>
  </si>
  <si>
    <t>24.09.2014, №УТС-13/2014, ОАО "ТГК №9" - Ф-л "Коми"ПАО "Т Плюс</t>
  </si>
  <si>
    <t>24.09.2014, №УТС-3/2014, ОАО "ТГК №9" - Ф-л "Коми"ПАО "Т Плюс</t>
  </si>
  <si>
    <t xml:space="preserve">226/2000 </t>
  </si>
  <si>
    <t>226/0000</t>
  </si>
  <si>
    <t>Нераспределенные лимиты 1 этапа</t>
  </si>
  <si>
    <t>Нехватка(+)/
излишние (-) 
лимитов до к.г. МБ</t>
  </si>
  <si>
    <t>5а</t>
  </si>
  <si>
    <t>5б</t>
  </si>
  <si>
    <t>5в</t>
  </si>
  <si>
    <t xml:space="preserve">Остаток по контрактам на 01.01.2015 г </t>
  </si>
  <si>
    <t>Оплачено по контрактам в 2013 г.</t>
  </si>
  <si>
    <t>Оплачено по контрактам в 2014 г.</t>
  </si>
  <si>
    <t xml:space="preserve">ВСЕГО </t>
  </si>
  <si>
    <t xml:space="preserve">3 этап </t>
  </si>
  <si>
    <t>1.14</t>
  </si>
  <si>
    <t>Продление технических условий по слаботочным сетям</t>
  </si>
  <si>
    <t>2.15</t>
  </si>
  <si>
    <t>7.14</t>
  </si>
  <si>
    <t>6.14</t>
  </si>
  <si>
    <t>5.13</t>
  </si>
  <si>
    <t>4.13</t>
  </si>
  <si>
    <t>3.12</t>
  </si>
  <si>
    <t>III этап (2015-2016)</t>
  </si>
  <si>
    <t>ул. Клубная</t>
  </si>
  <si>
    <t xml:space="preserve">2 </t>
  </si>
  <si>
    <t>ул. Кремса, участок № 1</t>
  </si>
  <si>
    <r>
      <t xml:space="preserve">17.07.2014, №0307300008614000336-0065801-02, ООО "Эталон"
</t>
    </r>
    <r>
      <rPr>
        <sz val="9"/>
        <color rgb="FF0000FF"/>
        <rFont val="Times New Roman"/>
        <family val="1"/>
        <charset val="204"/>
      </rPr>
      <t>доп. соглашение №2 от 27.05.2015
срок работ завершения работ: 30.09.2015
срок оплаты: 29.03.2016</t>
    </r>
  </si>
  <si>
    <r>
      <t xml:space="preserve">22.07.2014, №0307300008614000385-0065801-02, ОАО "Первый РСТ"
</t>
    </r>
    <r>
      <rPr>
        <sz val="9"/>
        <color rgb="FF0000FF"/>
        <rFont val="Times New Roman"/>
        <family val="1"/>
        <charset val="204"/>
      </rPr>
      <t>доп. соглашение №6 от 28.05.2015
срок работ завершения работ: 30.09.2015
срок оплаты: 29.03.2016</t>
    </r>
  </si>
  <si>
    <r>
      <t xml:space="preserve">01.08.2014, №0307300008614000383-0065801-03, ООО "Эталон"
</t>
    </r>
    <r>
      <rPr>
        <sz val="9"/>
        <color rgb="FF0000FF"/>
        <rFont val="Times New Roman"/>
        <family val="1"/>
        <charset val="204"/>
      </rPr>
      <t>доп. соглашение №2 от 27.05.2015
срок работ завершения работ: 30.09.2015
срок оплаты: 29.03.2016</t>
    </r>
  </si>
  <si>
    <r>
      <t xml:space="preserve">12.08.2014, №0307300008614000523-0065801-01, ОАО "Первый РСТ"
</t>
    </r>
    <r>
      <rPr>
        <sz val="9"/>
        <color rgb="FF0000FF"/>
        <rFont val="Times New Roman"/>
        <family val="1"/>
        <charset val="204"/>
      </rPr>
      <t>доп. соглашение №4 от 28.05.2015
срок работ завершения работ: 31.08.2015
срок оплаты: 27.02.2016</t>
    </r>
  </si>
  <si>
    <r>
      <t xml:space="preserve">16.07.2014, №0307300008614000373-0065801-01, ОАО "Первый РСТ"
</t>
    </r>
    <r>
      <rPr>
        <sz val="9"/>
        <color rgb="FF0000FF"/>
        <rFont val="Times New Roman"/>
        <family val="1"/>
        <charset val="204"/>
      </rPr>
      <t>доп. соглашение №5 от 28.05.2015
срок работ завершения работ: 30.09.2015
срок оплаты: 29.03.2016</t>
    </r>
  </si>
  <si>
    <r>
      <t xml:space="preserve">12.08.2014, №0307300008614000521-0065801-01, ОАО "Первый РСТ"
</t>
    </r>
    <r>
      <rPr>
        <sz val="9"/>
        <color rgb="FF0000FF"/>
        <rFont val="Times New Roman"/>
        <family val="1"/>
        <charset val="204"/>
      </rPr>
      <t>доп. соглашение №4 от 28.05.2015
срок работ завершения работ: 31.08.2015
срок оплаты: 27.02.2016</t>
    </r>
  </si>
  <si>
    <r>
      <t xml:space="preserve">01.08.2014, №0307300008614000372-0065801-03, ООО "Эталон"
</t>
    </r>
    <r>
      <rPr>
        <sz val="9"/>
        <color rgb="FF0000FF"/>
        <rFont val="Times New Roman"/>
        <family val="1"/>
        <charset val="204"/>
      </rPr>
      <t>доп. соглашение №2 от 27.05.2015
срок работ завершения работ: 30.09.2015
срок оплаты: 29.03.2016</t>
    </r>
  </si>
  <si>
    <r>
      <t xml:space="preserve">26.01.2015, №0307300008614001014-0065801-02, ОАО "Первый РСТ"
</t>
    </r>
    <r>
      <rPr>
        <sz val="9"/>
        <color rgb="FF0000FF"/>
        <rFont val="Times New Roman"/>
        <family val="1"/>
        <charset val="204"/>
      </rPr>
      <t>срок работ завершения работ: 02.12.2015
срок оплаты: 30.05.2016</t>
    </r>
  </si>
  <si>
    <r>
      <t xml:space="preserve">26.01.2015, №0307300008614001013-0065801-02, ОАО "Первый РСТ"
</t>
    </r>
    <r>
      <rPr>
        <sz val="9"/>
        <color rgb="FF0000FF"/>
        <rFont val="Times New Roman"/>
        <family val="1"/>
        <charset val="204"/>
      </rPr>
      <t>срок работ завершения работ: 17.12.2015
срок оплаты: 14.06.2016</t>
    </r>
  </si>
  <si>
    <t>№ 1649 от 11.12.2014, ОАО ПСФ "Ухтажилстройпроект"</t>
  </si>
  <si>
    <t>№ 0307300008615000022-0065801-01 от 20.03.2015, ООО "Геодезист"</t>
  </si>
  <si>
    <t>ТП газ</t>
  </si>
  <si>
    <t>№ 05/15 от 24.02.2015, ИП Кривушев Виктор Павлович</t>
  </si>
  <si>
    <t xml:space="preserve"> №1650.14 от 11.12.2014, ОАО ПСФ "Ухтажилстройпроект"</t>
  </si>
  <si>
    <t>№ 03073600008614001055-0065801-01 от 23.12.2014, ООО "Геодезист"</t>
  </si>
  <si>
    <t>№ 0307300008615000021-0065801-01 от 20.03.2015, ОАО ПСФ "Ухтажилстройпроект"</t>
  </si>
  <si>
    <t>№ 01/15 от 30.01.2015, ИП Кривушев Виктор Павлович</t>
  </si>
  <si>
    <t>1.13.</t>
  </si>
  <si>
    <t>Вынос сетей электроснабжения</t>
  </si>
  <si>
    <t>1.14.</t>
  </si>
  <si>
    <t>Вынос сетей газ</t>
  </si>
  <si>
    <t>ул. Кремса, участок № 2</t>
  </si>
  <si>
    <t>ул. Кремса, участок № 3</t>
  </si>
  <si>
    <t>ул.Кремса, участок № 4</t>
  </si>
  <si>
    <t xml:space="preserve"> №1651.14 от 11.12.2014, ОАО ПСФ "Ухтажилстройпроект"</t>
  </si>
  <si>
    <t>№ 0307300008614001055-0065801-01 от 23.12.2014, ООО "Геодезист"</t>
  </si>
  <si>
    <t>№ 02/15 от 30.01.2015, ИП Кривушев Виктор Павлович</t>
  </si>
  <si>
    <t>4 этап</t>
  </si>
  <si>
    <t xml:space="preserve"> №1652.14 от 11.12.2014, ОАО ПСФ "Ухтажилстройпроект"</t>
  </si>
  <si>
    <t>№ 03/15 от 30.01.2015, ИП Кривушев Виктор Павлович</t>
  </si>
  <si>
    <t xml:space="preserve"> №1653.14 от 11.12.2014, ОАО ПСФ "Ухтажилстройпроект"</t>
  </si>
  <si>
    <t>1.4.</t>
  </si>
  <si>
    <t>№ 04/15 от 30.01.2015, ИП Кривушев Виктор Павлович</t>
  </si>
  <si>
    <t>ул. Кремса, участок № 5</t>
  </si>
  <si>
    <t>1.5.</t>
  </si>
  <si>
    <t>1.6.</t>
  </si>
  <si>
    <t>1.7.</t>
  </si>
  <si>
    <t>1.8.</t>
  </si>
  <si>
    <t>1.9.</t>
  </si>
  <si>
    <t>1.10.</t>
  </si>
  <si>
    <t>1.11.</t>
  </si>
  <si>
    <t>IV этап(2016-2017)</t>
  </si>
  <si>
    <t>V этап (2017-2018)</t>
  </si>
  <si>
    <t>№ 23 от 07.05.2015, ООО "Геодезист"</t>
  </si>
  <si>
    <r>
      <t xml:space="preserve">ОАО "МРСК Северо-запада"
</t>
    </r>
    <r>
      <rPr>
        <b/>
        <sz val="9"/>
        <color rgb="FFFF0000"/>
        <rFont val="Times New Roman"/>
        <family val="1"/>
        <charset val="204"/>
      </rPr>
      <t>МК не заключен!!! Сумма МК приблезительная!!!</t>
    </r>
  </si>
  <si>
    <r>
      <t xml:space="preserve">МУП "Ухтаводоканал"
</t>
    </r>
    <r>
      <rPr>
        <b/>
        <sz val="9"/>
        <color rgb="FFFF0000"/>
        <rFont val="Times New Roman"/>
        <family val="1"/>
        <charset val="204"/>
      </rPr>
      <t>МК не заключен!!! Сумма МК приблезительная!!!</t>
    </r>
  </si>
  <si>
    <t>Потребность в денежных средствах  до к.г. МБ</t>
  </si>
  <si>
    <t>на 2015 год</t>
  </si>
  <si>
    <t>5 этап</t>
  </si>
  <si>
    <t>№ГСП-ТУ-877 от 29.09.2015 г.</t>
  </si>
  <si>
    <t>№ 0307300008615000389-0065801-01 
от 27.07.2015 ООО "Капитель"</t>
  </si>
  <si>
    <t>МК не заключен!!!
Сумма МК приблизительная!!!</t>
  </si>
  <si>
    <r>
      <t xml:space="preserve"> ОАО ПСФ "Ухтажилстройпроект"
</t>
    </r>
    <r>
      <rPr>
        <b/>
        <sz val="9"/>
        <color rgb="FFFF0000"/>
        <rFont val="Times New Roman"/>
        <family val="1"/>
        <charset val="204"/>
      </rPr>
      <t>МК не заключен!!! Сумма МК приблизительная!!!</t>
    </r>
  </si>
  <si>
    <r>
      <t xml:space="preserve">ОАО "МРСК Северо-запада"
</t>
    </r>
    <r>
      <rPr>
        <b/>
        <sz val="9"/>
        <color rgb="FFFF0000"/>
        <rFont val="Times New Roman"/>
        <family val="1"/>
        <charset val="204"/>
      </rPr>
      <t>МК не заключен!!! Сумма МК приблизительная!!!</t>
    </r>
  </si>
  <si>
    <r>
      <t xml:space="preserve">МУП "Ухтаводоканал"
</t>
    </r>
    <r>
      <rPr>
        <b/>
        <sz val="9"/>
        <color rgb="FFFF0000"/>
        <rFont val="Times New Roman"/>
        <family val="1"/>
        <charset val="204"/>
      </rPr>
      <t>МК не заключен!!! Сумма МК приблизительная!!!</t>
    </r>
  </si>
  <si>
    <r>
      <t xml:space="preserve">ОА "Газпром газораспределение Сыктывкар"
</t>
    </r>
    <r>
      <rPr>
        <b/>
        <sz val="9"/>
        <color rgb="FFFF0000"/>
        <rFont val="Times New Roman"/>
        <family val="1"/>
        <charset val="204"/>
      </rPr>
      <t>МК не заключен!!! Сумма МК приблизительная!!!</t>
    </r>
  </si>
  <si>
    <r>
      <t xml:space="preserve">ООО "Капитель"
</t>
    </r>
    <r>
      <rPr>
        <b/>
        <sz val="9"/>
        <color rgb="FFFF0000"/>
        <rFont val="Times New Roman"/>
        <family val="1"/>
        <charset val="204"/>
      </rPr>
      <t>МК не заключен!!! Сумма МК приблизительная!!!</t>
    </r>
  </si>
  <si>
    <r>
      <t xml:space="preserve">ООО "Оникс"
</t>
    </r>
    <r>
      <rPr>
        <b/>
        <sz val="9"/>
        <color rgb="FFFF0000"/>
        <rFont val="Times New Roman"/>
        <family val="1"/>
        <charset val="204"/>
      </rPr>
      <t>МК не заключен!!!
Сумма МК приблизительная!!!</t>
    </r>
  </si>
  <si>
    <t>МК не заключен!!! Сумма МК приблизительная!!!</t>
  </si>
  <si>
    <t>№ 0307300008615000022-0065801-01 от 20.03.2015, ОАО ПСФ "Ухтажилстройпроект"</t>
  </si>
  <si>
    <t>4 эт.</t>
  </si>
  <si>
    <t>Площ. Расс.</t>
  </si>
  <si>
    <t>Площ. Проект.</t>
  </si>
  <si>
    <t>МБ доп</t>
  </si>
  <si>
    <t>Кремса 2</t>
  </si>
  <si>
    <t>Кремса 3</t>
  </si>
  <si>
    <t>Кремса 4</t>
  </si>
  <si>
    <t>на 2016 год</t>
  </si>
  <si>
    <t>ВСЕГО 3, 4 и 5 этапы:</t>
  </si>
  <si>
    <t>Х</t>
  </si>
  <si>
    <t>клуб</t>
  </si>
  <si>
    <t>крем 1</t>
  </si>
  <si>
    <t>ИТОГО по МК 3 этапа, в том числе:</t>
  </si>
  <si>
    <t>ИТОГО по МК 4 этапа, в том числе:</t>
  </si>
  <si>
    <t>ИТОГО по МК 5 этапа, в том числе:</t>
  </si>
  <si>
    <t>срок исполнения контакта (договора)</t>
  </si>
  <si>
    <t>доп. соглашение №2 от 27.05.2015
срок работ завершения работ: 30.09.2015
срок оплаты: 29.03.2016</t>
  </si>
  <si>
    <t>окончание работ - ввод объекта в эксплуатацию</t>
  </si>
  <si>
    <t>срок работ завершения работ: 26.04.2015
срок оплаты: 26.06.2015</t>
  </si>
  <si>
    <t>срок работ завершения работ: 22.04.2015
срок оплаты: 22.06.2015</t>
  </si>
  <si>
    <t>срок работ завершения работ: 29.07.2015
срок оплаты: 27.09.2015</t>
  </si>
  <si>
    <t>срок работ завершения работ: 14.06.2015
срок оплаты: 29.06.2015</t>
  </si>
  <si>
    <t>срок работ завершения работ: 14.10.2016
срок оплаты: 29.10.2016</t>
  </si>
  <si>
    <t>срок работ завершения работ: 05.02.2017
срок оплаты: 20.02.2017</t>
  </si>
  <si>
    <t>+</t>
  </si>
  <si>
    <r>
      <t xml:space="preserve">контракт от 17.07.2014, №0307300008614000336-0065801-02, ООО "Эталон"(срок - в течении 250 дней со дня заключения контракта (24.03.2015)
</t>
    </r>
    <r>
      <rPr>
        <sz val="9"/>
        <color rgb="FF0000FF"/>
        <rFont val="Times New Roman"/>
        <family val="1"/>
        <charset val="204"/>
      </rPr>
      <t>доп. соглашение №2 от 27.05.2015
срок работ завершения работ: 30.09.2015
срок оплаты: 28.03.2016  (по истечении 180 календарных дней со дня предоставления счёта -фактуры на оплату)</t>
    </r>
  </si>
  <si>
    <r>
      <t xml:space="preserve">контракт от 22.07.2014, №0307300008614000385-0065801-02, ОАО "Первый РСТ" (срок завершения - в течении 250 календарных дней (28.03.2015)
</t>
    </r>
    <r>
      <rPr>
        <sz val="9"/>
        <color rgb="FF0000FF"/>
        <rFont val="Times New Roman"/>
        <family val="1"/>
        <charset val="204"/>
      </rPr>
      <t>доп. соглашение №6 от 28.05.2015
срок работ завершения работ: не позднее 30.09.2015
срок оплаты: 28.03.2016 (по истечении 180 календарных дней со дня предоставления счёта -фактуры на оплату)</t>
    </r>
  </si>
  <si>
    <r>
      <t xml:space="preserve">контракт от 01.08.2014, №0307300008614000383-0065801-03, ООО "Эталон" (срок завершения работ - 255 календарных дней со дня заключения </t>
    </r>
    <r>
      <rPr>
        <sz val="9"/>
        <color rgb="FFFF0000"/>
        <rFont val="Times New Roman"/>
        <family val="1"/>
        <charset val="204"/>
      </rPr>
      <t>12.04.2015</t>
    </r>
    <r>
      <rPr>
        <sz val="9"/>
        <rFont val="Times New Roman"/>
        <family val="1"/>
        <charset val="204"/>
      </rPr>
      <t xml:space="preserve">;
</t>
    </r>
    <r>
      <rPr>
        <sz val="9"/>
        <color rgb="FF0000FF"/>
        <rFont val="Times New Roman"/>
        <family val="1"/>
        <charset val="204"/>
      </rPr>
      <t>доп. соглашение №2 от 27.05.2015 (срок окончания выполнения работ - 30.09.2015 года)
срок работ завершения работ: 30.09.2015
срок оплаты: 28.03.2016 (по истечении 180 календарных дней со дня предоставления счёта -фактуры на оплату)</t>
    </r>
  </si>
  <si>
    <r>
      <t xml:space="preserve">контракт от 12.08.2014, №0307300008614000523-0065801-01, ОАО "Первый РСТ" (срок завершения - в течении 275 календарных дней (13.05.2015)
</t>
    </r>
    <r>
      <rPr>
        <sz val="9"/>
        <color rgb="FF0000FF"/>
        <rFont val="Times New Roman"/>
        <family val="1"/>
        <charset val="204"/>
      </rPr>
      <t>доп. соглашение №4 от 28.05.2015
срок работ завершения работ:не позднее  31.08.2015
срок оплаты: 27.02.2016  (по истечении 180 календарных дней со дня предоставления счёта -фактуры на оплату)</t>
    </r>
  </si>
  <si>
    <r>
      <t xml:space="preserve">контракт от 16.07.2014, №0307300008614000373-0065801-01, ОАО "Первый РСТ" (срок завершения - в течении 250 календарных дней (23.03.2015)
</t>
    </r>
    <r>
      <rPr>
        <sz val="9"/>
        <color rgb="FF0000FF"/>
        <rFont val="Times New Roman"/>
        <family val="1"/>
        <charset val="204"/>
      </rPr>
      <t>доп. соглашение №5 от 28.05.2015
срок работ завершения работ: не позднее  30.09.2015 срок оплаты: 28.03.2016 (по истечении 180 календарных дней со дня предоставления счёта -фактуры на оплату)</t>
    </r>
  </si>
  <si>
    <r>
      <t xml:space="preserve">контракт от 12.08.2014, №0307300008614000521-0065801-01, ОАО "Первый РСТ"(срок завершения -в течении 210 календарных дней ( 09.03.2015)
доп. соглашение №4 от 28.05.2015
</t>
    </r>
    <r>
      <rPr>
        <sz val="9"/>
        <color rgb="FF0000FF"/>
        <rFont val="Times New Roman"/>
        <family val="1"/>
        <charset val="204"/>
      </rPr>
      <t>срок работ завершения работ: не позднее 31.08.2015
срок оплаты: 27.02.2016 (по истечении 180 календарных дней со дня предоставления счёта -фактуры на оплату)</t>
    </r>
  </si>
  <si>
    <r>
      <t xml:space="preserve">контракт от 01.08.2014, №0307300008614000372-0065801-03, ООО "Эталон" (срок завершения - в течении 250 календарных дней (07.04.2015)
</t>
    </r>
    <r>
      <rPr>
        <sz val="9"/>
        <color rgb="FF0000FF"/>
        <rFont val="Times New Roman"/>
        <family val="1"/>
        <charset val="204"/>
      </rPr>
      <t>доп. соглашение №2 от 27.05.2015
срок работ завершения работ: не позднее  30.09.2015
срок оплаты: 28.03.2016 (по истечении 180 календарных дней со дня предоставления счёта -фактуры на оплату)</t>
    </r>
  </si>
  <si>
    <r>
      <t xml:space="preserve">контракт от 26.01.2015, №0307300008614001014-0065801-02, ОАО "Первый РСТ"(срок выполнения - в течении 240 календарных дней со дня получения разрешения на строительство (разрешение на строительство от 07.04.2015)
</t>
    </r>
    <r>
      <rPr>
        <sz val="9"/>
        <color rgb="FF0000FF"/>
        <rFont val="Times New Roman"/>
        <family val="1"/>
        <charset val="204"/>
      </rPr>
      <t>срок работ завершения работ: 02.12.2015 (срок оплаты по истечении 180 календарных дней со дня предоставления счёта -фактуры на оплату 
срок оплаты: 30.05.2016</t>
    </r>
  </si>
  <si>
    <r>
      <t xml:space="preserve">контракт от 26.01.2015, №0307300008614001013-0065801-02, ОАО "Первый РСТ"(срок выполнения - в течении 255 календарных дней со дня разрешения на строительство (разрешение от 07.04.2015)
</t>
    </r>
    <r>
      <rPr>
        <sz val="9"/>
        <color rgb="FF0000FF"/>
        <rFont val="Times New Roman"/>
        <family val="1"/>
        <charset val="204"/>
      </rPr>
      <t>срок работ завершения работ: 17.12.2015 ( (по истечении 180 календарных дней со дня предоставления счёта -фактуры на оплату 
срок оплаты: 14.06.2016</t>
    </r>
  </si>
  <si>
    <t>Начальник МУ УКС                                                                                                                                 М.М. Фединишинец</t>
  </si>
  <si>
    <t>исп. Захарова С.А. 76-77-12</t>
  </si>
  <si>
    <t>Распределенные лимиты 3 этапа в рамках строящихся домов 1 и 2 этапов</t>
  </si>
  <si>
    <t>ЛИМИТЫ 3 этап</t>
  </si>
  <si>
    <t>ЛИМИТЫ 1 этап</t>
  </si>
  <si>
    <t>ЛИМИТЫ 2 этап</t>
  </si>
  <si>
    <t>ВСЕГО 1 и 2 этапы в ремках контрактов (договоров):</t>
  </si>
  <si>
    <t xml:space="preserve">Распределенные лимиты 1 этапа </t>
  </si>
  <si>
    <t xml:space="preserve">Нераспределенные лимиты 1 этапа </t>
  </si>
  <si>
    <t xml:space="preserve">Распределенные лимиты 2 этапа </t>
  </si>
  <si>
    <t xml:space="preserve">Нераспределенные лимиты 2 этапа </t>
  </si>
  <si>
    <t>Распределенные лимиты 3 этапа в рамках домов 3 этапа</t>
  </si>
  <si>
    <t>Распределенные лимиты 3 этапа в рамках домов 4 этапа</t>
  </si>
  <si>
    <t>3.13</t>
  </si>
  <si>
    <t>Проектные работы (конструктивные и объемно-планировочные решения)</t>
  </si>
  <si>
    <t>25.11.2015 №36 ООО "Капитель"</t>
  </si>
  <si>
    <t>Схема планировочной организации земельного участка</t>
  </si>
  <si>
    <t>23.11.2015 №35 ООО "Капитель"</t>
  </si>
  <si>
    <t>Проектная документация: Система газоснабжения</t>
  </si>
  <si>
    <t>01.12.2015 №40 ООО "Капитель"</t>
  </si>
  <si>
    <t>Проектная документация: Сети связи</t>
  </si>
  <si>
    <t>30.11.2015 №39 ООО "Капитель"</t>
  </si>
  <si>
    <t>Проектная документация: Сети водоснабжения</t>
  </si>
  <si>
    <t>26.11.2015 №37 ООО "Капитель"</t>
  </si>
  <si>
    <t>27.11.2015 №38 ООО "Капитель"</t>
  </si>
  <si>
    <t>Инженерные изыскания
Наружные инженерные сети</t>
  </si>
  <si>
    <t>25.11.2015 №41 ООО "Стройизыскания"</t>
  </si>
  <si>
    <t>4.14</t>
  </si>
  <si>
    <t>5.14</t>
  </si>
  <si>
    <t>2.16</t>
  </si>
  <si>
    <t>2.17</t>
  </si>
  <si>
    <t>2.18</t>
  </si>
  <si>
    <t>2.19</t>
  </si>
  <si>
    <t>Проектная документация: Сети водоотведения</t>
  </si>
  <si>
    <t>3.14</t>
  </si>
  <si>
    <t>3.15</t>
  </si>
  <si>
    <t>3.16</t>
  </si>
  <si>
    <t>3.17</t>
  </si>
  <si>
    <t>3.18</t>
  </si>
  <si>
    <t>3.19</t>
  </si>
  <si>
    <t>ГУБКИНА 8</t>
  </si>
  <si>
    <t>ВСЕГО</t>
  </si>
  <si>
    <t>ПЕРВОМ 25</t>
  </si>
  <si>
    <t>ШКОЛЬН 22</t>
  </si>
  <si>
    <t>СЕМЯШ 8</t>
  </si>
  <si>
    <t>КРЕМСА 5</t>
  </si>
  <si>
    <t>КРЕМСА 3</t>
  </si>
  <si>
    <t>КРЕМСА 11А</t>
  </si>
  <si>
    <t>КРЕМСА 13</t>
  </si>
  <si>
    <t>ПЕРВОМ 28</t>
  </si>
  <si>
    <t>БЫЛО</t>
  </si>
  <si>
    <t>СТАЛО</t>
  </si>
  <si>
    <t>КР 2</t>
  </si>
  <si>
    <t>КР 3</t>
  </si>
  <si>
    <t>КР 4</t>
  </si>
  <si>
    <t>ВСЕГО по МК 1 - 4 этапа, в том числе:</t>
  </si>
  <si>
    <t>Этап программы</t>
  </si>
  <si>
    <t>I</t>
  </si>
  <si>
    <t>II</t>
  </si>
  <si>
    <t>III</t>
  </si>
  <si>
    <t>Средства бюджета РК</t>
  </si>
  <si>
    <t>Средства бюджета МОГО "Ухта"</t>
  </si>
  <si>
    <t>Средства Фонда содействия реформированию жилищно-коммунального хозяйства</t>
  </si>
  <si>
    <t>руб.</t>
  </si>
  <si>
    <t>ИТОГО:</t>
  </si>
  <si>
    <t>ИТОГО</t>
  </si>
  <si>
    <t>4.15</t>
  </si>
  <si>
    <t>1.15</t>
  </si>
  <si>
    <t>6.15</t>
  </si>
  <si>
    <t>4</t>
  </si>
  <si>
    <t>7.15</t>
  </si>
  <si>
    <t>5.15</t>
  </si>
  <si>
    <t xml:space="preserve">ТП газ </t>
  </si>
  <si>
    <t>2.20</t>
  </si>
  <si>
    <t>1.16</t>
  </si>
  <si>
    <t>ТП к газораспределительным сетям</t>
  </si>
  <si>
    <t>3.20</t>
  </si>
  <si>
    <t>1.17</t>
  </si>
  <si>
    <t>1.18</t>
  </si>
  <si>
    <t>1.19</t>
  </si>
  <si>
    <t>1.20</t>
  </si>
  <si>
    <t>1.21</t>
  </si>
  <si>
    <t>1.22</t>
  </si>
  <si>
    <t>3.21</t>
  </si>
  <si>
    <t>7.16</t>
  </si>
  <si>
    <t>IV этап  (2016-2017)</t>
  </si>
  <si>
    <t>По  программе</t>
  </si>
  <si>
    <t>в рамках 3 этапа</t>
  </si>
  <si>
    <t>Рабочая док-ция  Наружные теплосети</t>
  </si>
  <si>
    <t>Приобретение квартир путем участия в долевом строительстве для обеспечения жильем граждан, нуждающихся в переселении из аварийного жилищного фонда</t>
  </si>
  <si>
    <t>Приобретение квартир путем участия в долевом строительстве для обеспечения жильем граждан, нуждающихся в переселении из аварийного жилищного фонда (47 квартир)</t>
  </si>
  <si>
    <t>Приобретение квартир путем участия в долевом строительстве для обеспечения жильем граждан, нуждающихся в переселении из аварийного жилищного фонда (1 квартира)</t>
  </si>
  <si>
    <t>1.23</t>
  </si>
  <si>
    <t>Замена общедомового ПУ ХВС</t>
  </si>
  <si>
    <t>3.22</t>
  </si>
  <si>
    <t>4.16</t>
  </si>
  <si>
    <t>Техническое обслуживание, ремонт и аварийное обслуживание наружных сетей газоснабжения</t>
  </si>
  <si>
    <t>1.24</t>
  </si>
  <si>
    <t>Проведение судебной экспертизы</t>
  </si>
  <si>
    <t>4.17</t>
  </si>
  <si>
    <t>Приобретение квартир в многоквартирных домах для обеспечения жильем граждан, нуждающихся в переселении из аварийного жилищного фонда</t>
  </si>
  <si>
    <t>1.25</t>
  </si>
  <si>
    <t>Безговорное потребление тепловой энергии теплоносителя по малоэтажным жилым домам</t>
  </si>
  <si>
    <t>3.23</t>
  </si>
  <si>
    <t>6.17</t>
  </si>
  <si>
    <t>Техническое обслуживание наружных стальных газопроводов, арматуры и сооружений</t>
  </si>
  <si>
    <t>Внесение изменений в тех.документацию и выдача тех.паспортов</t>
  </si>
  <si>
    <t>1.26</t>
  </si>
  <si>
    <t>1.27</t>
  </si>
  <si>
    <t>4.2.</t>
  </si>
  <si>
    <t>5</t>
  </si>
  <si>
    <t>Бездоговорное потребление тепловой энергии теплоносителя по малоэтажным жилым домам</t>
  </si>
  <si>
    <t>Временный отпуск питьевой воды и прием сточных вод для проведения пуско-наладочных работ газового оборудования</t>
  </si>
  <si>
    <t>3.24</t>
  </si>
  <si>
    <t>5.16</t>
  </si>
  <si>
    <t>3.25</t>
  </si>
  <si>
    <t>1.28</t>
  </si>
  <si>
    <t>Установка оконных клапанов доступа воздуха</t>
  </si>
  <si>
    <t>3.26</t>
  </si>
  <si>
    <t>НЕРАСПРЕДЕЛЕННЫЕ ЛИМИТЫ</t>
  </si>
  <si>
    <t>5.17</t>
  </si>
  <si>
    <t>4.18</t>
  </si>
  <si>
    <t>6.18</t>
  </si>
  <si>
    <t>Приобретение электропривода для установки в тепловом узле МКД</t>
  </si>
  <si>
    <t>5.18</t>
  </si>
  <si>
    <t>1.29</t>
  </si>
  <si>
    <t xml:space="preserve">Выполнение работ по проверке дымоходов </t>
  </si>
  <si>
    <t>3.27</t>
  </si>
  <si>
    <t>5.19</t>
  </si>
  <si>
    <t>4.19</t>
  </si>
  <si>
    <t>4.20</t>
  </si>
  <si>
    <t>Выполнение ремонтных работ по устранению строительно-технических недостатков</t>
  </si>
  <si>
    <t>6.16</t>
  </si>
  <si>
    <t>1.30</t>
  </si>
  <si>
    <t>3.28</t>
  </si>
  <si>
    <t>Выполнение работ по установке гильз</t>
  </si>
  <si>
    <t>Муниципальный контракт от 06.12.2016 
№ 0107300001216000568-0065801-03 с  ООО "Первый РСТ".
Муниципальный контракт расторгнут 27.02.2018 (односторонний отказ Заказчика).</t>
  </si>
  <si>
    <t>Договор от 01.10.2013 №1591.13 с ООО ПСФ "Ухтажилстройпроект"</t>
  </si>
  <si>
    <t>Договор от 29.08.2014 № 13 
с ООО "Оникс"</t>
  </si>
  <si>
    <t>Муниципальный контракт от 15.10.2013 № 0307300008613000402-0065801-03 
с ОАО "Ухтагорпроект"</t>
  </si>
  <si>
    <t>Муниципальный контракт от 25.11.2015 № 41 с ООО "Стройизыскания"</t>
  </si>
  <si>
    <t>Муниципальный контракт от 31.12.2013 № 0307300008613000626-0065801-01 с ООО ПСФ "Ухтажилстройпроект"</t>
  </si>
  <si>
    <t>Договор от 25.11.2015 № 36 
с ООО "Капитель"</t>
  </si>
  <si>
    <t>Договор от 23.11.2015 № 35 
с ООО "Капитель"</t>
  </si>
  <si>
    <t>Договор от 01.12.2015 № 40 
с ООО "Капитель"</t>
  </si>
  <si>
    <t>Договор от 30.11.2015 № 39 
с ООО "Капитель"</t>
  </si>
  <si>
    <t>Договор от 26.11.2015 № 37 
с ООО "Капитель"</t>
  </si>
  <si>
    <t>Договор от 27.11.2015 № 38 
с ООО "Капитель"</t>
  </si>
  <si>
    <t>Муниципальный контракт от 01.10.2014 № 15 с ООО ПСФ "Ухтажилстройпроект"</t>
  </si>
  <si>
    <t>Муниципальный контракт 
от 29.08.2014 № 56-02793Ц/14 
с  ПАО "МРСК Северо-запада"</t>
  </si>
  <si>
    <t>Муниципальный контракт 
от 25.09.2014 № 22-08/14-К 
с  МУП "Ухтаводоканал" МОГО "Ухта"</t>
  </si>
  <si>
    <t>Муниципальный контракт 
от 25.09.2014 № 22-08/14-В 
с МУП "Ухтаводоканал" МОГО "Ухта"</t>
  </si>
  <si>
    <t>Муниципальный контракт 
от 24.09.2014 № УТС-2/2014 
с ПАО "Т Плюс"</t>
  </si>
  <si>
    <t>Договор от 21.04.2016 № УМРГ-38/13-СНГиС с ОА "Газпром газораспределение Сыктывкар"</t>
  </si>
  <si>
    <t>Договор от 14.09.2016 № УМРГ-94/13-СВДГО с АО "Газпром газораспределение Сыктывкар"</t>
  </si>
  <si>
    <t>Муниципальный контракт 
от 11.08.2015 № УМРГ-216/13-ПТО 
с  ОА "Газпром газораспределение Сыктывкар"</t>
  </si>
  <si>
    <t xml:space="preserve">Договор от 29.09.2015 № ГСП-ТУ-877 </t>
  </si>
  <si>
    <t>Договор от 17.04.2017 № 11-2-11-52/013 с АО "Ростехинвентаризация – Федеральное БТИ"</t>
  </si>
  <si>
    <t>Договор от 25.12.2016 № б/н 
с МУП "Ухтаводоканал" МОГО "Ухта"</t>
  </si>
  <si>
    <t>Договор 
от 02.04.2018 № 125-04/18.2-Об 
с ООО "Лэндер - Плюс"</t>
  </si>
  <si>
    <t>Договор от 01.10.2013 № 1591.13 
с ООО ПСФ "Ухтажилстройпроект"</t>
  </si>
  <si>
    <t>Муниципальный контракт от 15.10.2013 № 0307300008613000402-0065801-03 с  ОАО "Ухтагорпроект"</t>
  </si>
  <si>
    <t>Договор от 29.08.2014  № 13 
с ООО "Оникс"</t>
  </si>
  <si>
    <t>Договор от 23.11.2015 № 42 
с ООО "Капитель"</t>
  </si>
  <si>
    <t>Договор от 27.11.2015 № 46 
с ООО "Капитель"</t>
  </si>
  <si>
    <t>Договор от 25.11.2015 № 44
с ООО "Капитель"</t>
  </si>
  <si>
    <t>Договор от 26.11.2015 № 45
с  ООО "Капитель"</t>
  </si>
  <si>
    <t>Договор от 24.11.2015 № 43 
с ООО "Капитель"</t>
  </si>
  <si>
    <t>Договор от 09.12.2015 № 53 
с ООО "Капитель"</t>
  </si>
  <si>
    <t>Муниципальный контракт от 31.12.2013  № 0307300008613000626-0065801-01 с  ООО ПСФ "Ухтажилстройпроект"</t>
  </si>
  <si>
    <t>Муниципальный контракт 
от 30.09.2014 № 16 
с  ООО ПСФ "Ухтажилстройпроект"</t>
  </si>
  <si>
    <t>Муниципальный контракт 
от 29.08.2014 № 56-02792Ц/14 
с  ПАО "МРСК Северо-запада"</t>
  </si>
  <si>
    <t>Муниципальный контракт 
от 25.09.2014 № 23-08/14-К 
с МУП "Ухтаводоканал" МОГО "Ухта"</t>
  </si>
  <si>
    <t>Муниципальный контракт 
от 25.09.2014 № 23-08/14-В
с  МУП "Ухтаводоканал" МОГО "Ухта"</t>
  </si>
  <si>
    <t>Договор от 07.07.2016 № УМРГ-61/13-СВДГО с АО "Газпром газораспределение Сыктывкар"</t>
  </si>
  <si>
    <t>Муниципальный контракт от 11.08.2015 № УМРГ-217/13-ПТО с ОА "Газпром газораспределение Сыктывкар"</t>
  </si>
  <si>
    <t>Договор от 06.02.2018 № 1301/1-18 
с ИП Соболевский А.П.</t>
  </si>
  <si>
    <t>Муниципальный контракт от 22.07.2014 № 0307300008614000385-0065801-02 с  ООО "Первый РСТ".
Срок выполнения работ - в течении 250 календарных дней (28.03.2015),
доп. соглашение от 28.05.2015 №6 
срок выполнения работ: 30.09.2015.
Срок оплаты: 28.03.2016 (по истечении 180 календарных дней со дня предоставления счёта -фактуры на оплату).
Муниципальный контракт расторгнут 13.04.2018 (односторонний отказ Заказчика).</t>
  </si>
  <si>
    <t>Муниципальный контракт от 01.08.2014 № 0307300008614000383-0065801-03 с  ООО "Эталон". 
Срок выполнения работ - 255 календарных дней со дня заключения (12.04.2015),
доп. соглашение от 27.05.2015 №2  срок окончания выполнения работ - 30.09.2015.
Срок оплаты: 28.03.2016 (по истечении 180 календарных дней со дня предоставления счёта -фактуры на оплату). 
Муниципальный контракт расторгнут 09.09.2016 (односторонний отказ Заказчика).</t>
  </si>
  <si>
    <t>Муниципальный контракт от 07.12.2016 № 0107300001216000569-0065801-03 с  ООО "Первый РСТ".
Муниципальный контракт расторгнут 27.02.2018 (односторонний отказ Заказчика).</t>
  </si>
  <si>
    <t>Муниципальный контракт от 15.10.2013 № 0307300008613000402-0065801-03 с ОАО "Ухтагорпроект"</t>
  </si>
  <si>
    <t>Договор от 29.08.2014 №13 
с ООО "Оникс"</t>
  </si>
  <si>
    <t>Договор от 30.11.2015 № 47 
с ООО "Капитель"</t>
  </si>
  <si>
    <t>Договор от 07.12.2015 № 52 
с ООО "Капитель"</t>
  </si>
  <si>
    <t>Договор от 03.12.2015 № 50 
с ООО "Капитель"</t>
  </si>
  <si>
    <t>Договор от 04.12.2015 № 51 
с ООО "Капитель"</t>
  </si>
  <si>
    <t>Договор от 02.12.2015 № 49 
с ООО "Капитель"</t>
  </si>
  <si>
    <t>Договор от 01.12.2015 № 48 
с ООО "Капитель"</t>
  </si>
  <si>
    <t>Муниципальный контракт от 31.12.2013 № 0307300008613000626-0065801-01 
с ООО ПСФ "Ухтажилстройпроект"</t>
  </si>
  <si>
    <t>Муниципальный контракт 
от 30.09.2014  № 17 
с ООО ПСФ "Ухтажилстройпроект"</t>
  </si>
  <si>
    <t>Муниципальный контракт 
от 29.08.2014 № 56-02790Ц/14 
с ПАО "МРСК Северо-запада"</t>
  </si>
  <si>
    <t>Муниципальный контракт 
от 25.09.2014 № 24-08/14-К 
с МУП "Ухтаводоканал" МОГО "Ухта"</t>
  </si>
  <si>
    <t>Муниципальный контракт 
от 26.09.2014 № 24-08/14-В 
с МУП "Ухтаводоканал" МОГО "Ухта"</t>
  </si>
  <si>
    <t xml:space="preserve">Договор от 14.09.2016 № УМРГ-95/13-СВДГО с АО "Газпром газораспределение Сыктывкар" </t>
  </si>
  <si>
    <t>Договор от 11.08.2015 № УМРГ-218/13-ПТО с ОА "Газпром газораспределение Сыктывкар"</t>
  </si>
  <si>
    <t>Договор от 26.04.2017 № б/н 
с МУП "Ухтаводоканал" МОГО "Ухта"</t>
  </si>
  <si>
    <t>Договор от 02.04.2018 № 125-04/18.3-Об 
 с ООО "Лэндер - Плюс"</t>
  </si>
  <si>
    <t>Договор от 25.04.2017 № 04.1/17 
с ООО "Газавтоматика"</t>
  </si>
  <si>
    <t>Договор от 25.04.2017 № 04.2/17 
с ООО "Газавтоматика"</t>
  </si>
  <si>
    <t>Муниципальный контракт от 12.08.2014  
№ 0307300008614000523-0065801-01 с  ООО "Первый РСТ". 
Срок выполнения работ - в течении 275 календарных дней (13.05.2015),
доп. соглашение от 28.05.2015 №4 
срок выполнения работ: 31.08.2015.
Срок оплаты: 27.02.2016  (по истечении 180 календарных дней со дня предоставления счёта -фактуры на оплату).
Муниципальный контракт расторгнут 18.04.2018 (односторонний отказ Заказчика).</t>
  </si>
  <si>
    <t>Договор от 01.10.2013 № 1590.13 
с ООО ПСФ "Ухтажилстройпроект"</t>
  </si>
  <si>
    <t>Договор от 17.02.2014 № 3
с ООО ПСФ "Ухтажилстройпроект"</t>
  </si>
  <si>
    <t>Муниципальный контракт от 15.10.2013
 № 0307300008613000402-0065801-03 
с ОАО "Ухтагорпроект"</t>
  </si>
  <si>
    <t>Договор от 29.08.2014 № 13
с ООО "Оникс"</t>
  </si>
  <si>
    <t>Муниципальный контракт от 11.06.2014 № 0307300008614000328-0065801-01 
с ООО ПСФ "Ухтажилстройпроект"</t>
  </si>
  <si>
    <t>Муниципальный контракт 
от 30.09.2014 № 18 
с ООО ПСФ "Ухтажилстройпроект"</t>
  </si>
  <si>
    <t>Муниципальный контракт 
от 29.08.2014 № 56-02655Ц/14
с ПАО "МРСК Северо-запада"</t>
  </si>
  <si>
    <t>Муниципальный контракт 
от 25.09.2014 № 29-08/14-К
с МУП "Ухтаводоканал" МОГО "Ухта"</t>
  </si>
  <si>
    <t>Муниципальный контракт 
от 26.09.2014 № 29-08/14-В
с МУП "Ухтаводоканал" МОГО "Ухта"</t>
  </si>
  <si>
    <t>Договор от 06.05.2016 № УМРГ-41/13-СВДГО с ОА "Газпром газораспределение Сыктывкар"</t>
  </si>
  <si>
    <t>Муниципальный контракт от 11.08.2015 
№ УМРГ-219/13-ПТО с ОА "Газпром газораспределение Сыктывкар"</t>
  </si>
  <si>
    <t>Договор  от 29.09.2015 № ГСП-ТУ-877</t>
  </si>
  <si>
    <t>Договор от 02.04.2018 № 125-04/18.6-Об  с ООО "Лэндер - Плюс"</t>
  </si>
  <si>
    <t>На основании исполнительного листа от 04.12.2017 серия ФС 013898061 на основании Решения Арбитражного суда РК от 26.10.2017 по делу № А29-12626/2016 (истец - ПАО "Т Плюс", иск удовлетворен).</t>
  </si>
  <si>
    <t>Муниципальный контракт от 16.07.2014 № 0307300008614000373-0065801-01 с ООО "Первый РСТ". 
Срок выполнения работ - в течении 250 календарных дней (23.03.2015),
доп. соглашение от 28.05.2015 №5 
срок выполнения работ: 30.09.2015. 
Срок оплаты: 28.03.2016 (по истечении 180 календарных дней со дня предоставления счёта -фактуры на оплату).
Муниципальный контракт расторгнут 20.04.2018 (односторонний отказ Заказчика).</t>
  </si>
  <si>
    <t>Договор от 17.02.2014 № 3 
с ООО ПСФ "Ухтажилстройпроект"</t>
  </si>
  <si>
    <t>Договор от 29.08.2014 №13
с ООО "Оникс"</t>
  </si>
  <si>
    <t>Муниципальный контракт 
от 25.11.2015 № 41 
с ООО "Стройизыскания"</t>
  </si>
  <si>
    <t>Муниципальный контракт 
от 11.06.2014 №0307300008614000328-0065801-01 с ООО ПСФ "Ухтажилстройпроект"</t>
  </si>
  <si>
    <t>Муниципальный контракт 
от 30.09.2014 № 19 
с ООО ПСФ "Ухтажилстройпроект"</t>
  </si>
  <si>
    <t>Муниципальный контракт 
от 29.08.2014 № 56-02820Ц/14
с ПАО "МРСК Северо-запада"</t>
  </si>
  <si>
    <t>Муниципальный контракт 
от 25.09.2014 № 25-08/14-К
с МУП "Ухтаводоканал" МОГО "Ухта"</t>
  </si>
  <si>
    <t>Муниципальный контракт 
от 26.09.2014 №25-08/14-В
с МУП "Ухтаводоканал" МОГО "Ухта"</t>
  </si>
  <si>
    <t>Договор от 07.07.2016 № УМРГ-62/13-СВДГО с АО "Газпром газораспределение Сыктывкар"</t>
  </si>
  <si>
    <t>Муниципальный контракт от 11.08.2015 № УМРГ-220/13-ПТО с ОА "Газпром газораспределение Сыктывкар"</t>
  </si>
  <si>
    <t>Договор от 02.04.2018 № 125-04/18.1-Об 
с ООО "Лэндер - Плюс"</t>
  </si>
  <si>
    <t>Договор от 28.04.2018 № 16 
с ООО "Управляющая компания "СМУ13"</t>
  </si>
  <si>
    <t>Муниципальный контракт от 12.08.2014 № 0307300008614000521-0065801-01 с ООО "Первый РСТ".
Срок выполнения работ - в течении 210 календарных дней (09.03.2015),
доп. соглашение от 28.05.2015 №4,  
срок выполнения работ: 31.08.2015.
Срок оплаты: 27.02.2016 (по истечении 180 календарных дней со дня предоставления счёта -фактуры на оплату).
Муниципальный контракт расторгнут 22.05.2018 (односторонний отказ Заказчика).</t>
  </si>
  <si>
    <t>Договор от 01.10.2013 № 1589.13 
с ООО ПСФ "Ухтажилстройпроект"</t>
  </si>
  <si>
    <t>Муниципальный контракт от 08.10.2013 № 0307300008613000400-0065801-02 
с  ООО "Миртуй"</t>
  </si>
  <si>
    <t>Договор от 29.08.2014 № 14 
с ООО "Оникс"</t>
  </si>
  <si>
    <t>Муниципальный контракт от 05.06.2014 № 0307300008614000226-0065801-01 
с ООО ПСФ "Ухтажилстройпроект"</t>
  </si>
  <si>
    <t>Муниципальный контракт 
от 30.09.2014 № 20 
с ООО ПСФ "Ухтажилстройпроект"</t>
  </si>
  <si>
    <t>Муниципальный контракт 
от 25.08.2014 № 56-02801Ц/14 
с ПАО "МРСК Северо-запада"</t>
  </si>
  <si>
    <t>Муниципальный контракт 
от 25.09.2014 № 28-08/14-К 
с МУП "Ухтаводоканал" МОГО "Ухта"</t>
  </si>
  <si>
    <t>Муниципальный контракт 
от 29.12.2014 № 56-11/14-В 
с МУП "Ухтаводоканал" МОГО "Ухта"</t>
  </si>
  <si>
    <t>Договор от 08.04.2016 № УМРГ-31/13-СНГиС с ОА "Газпром газораспределение Сыктывкар"</t>
  </si>
  <si>
    <t>Муниципальный контракт от 11.12.2014 № 1617.14-С1тс. С ООО ПСФ "Ухтажилстройпроект"</t>
  </si>
  <si>
    <t>Муниципальный контракт от 11.08.2015 № УМРГ-221/13-ПТО с ОА "Газпром газораспределение Сыктывкар"</t>
  </si>
  <si>
    <t>Муниципальный контракт от 20.06.2018 
№ 0107300001218000396-0065801-02 
с ИП Калинин А.В.</t>
  </si>
  <si>
    <t>Муниципальный контракт от 01.08.2014 № 0307300008614000372-0065801-03 с ООО "Эталон". 
Срок выполнения работ - в течении 250 календарных дней (07.04.2015),
доп. соглашение от 27.05.2015 №2 
срок выполнения работ: 30.09.2015.
Срок оплаты: 28.03.2016 (по истечении 180 календарных дней со дня предоставления счёта -фактуры на оплату). 
Муниципальный контракт расторгнут 09.09.2016 (односторонний отказ Заказчика).</t>
  </si>
  <si>
    <t>Договор от 01.10.2013 № 1589.13
с ООО ПСФ "Ухтажилстройпроект"</t>
  </si>
  <si>
    <t>Договор от 29.08.2014 № 14
с ООО "Оникс"</t>
  </si>
  <si>
    <t>Муниципальный контракт 
от 30.09.2014 № 21 
с ООО ПСФ "Ухтажилстройпроект"</t>
  </si>
  <si>
    <t>Муниципальный контракт 
от 25.08.2014 № 56-02822Ц/14
с ПАО "МРСК Северо-запада"</t>
  </si>
  <si>
    <t>Муниципальный контракт 
от 25.09.2014 № 21-08/14-К
с МУП "Ухтаводоканал" МОГО "Ухта"</t>
  </si>
  <si>
    <t>Муниципальный контракт 
от 29.12.2014 № 59-11/14-В
с МУП "Ухтаводоканал" МОГО "Ухта"</t>
  </si>
  <si>
    <t>Муниципальный контракт 
от 24.09.2014 № УТС-3/2014
с ПАО "Т Плюс"</t>
  </si>
  <si>
    <t>Муниципальный контракт 
от 24.09.2014 № УТС-13/2014 
с ПАО "Т Плюс"</t>
  </si>
  <si>
    <t>Муниципальный контракт 
от 24.09.2014 № УТС-8/2014
с ПАО "Т Плюс"</t>
  </si>
  <si>
    <t>Муниципальный контракт 
от 24.09.2014 № УТС-7/2014 
с ПАО "Т Плюс"</t>
  </si>
  <si>
    <t>Муниципальный контракт 
от 24.09.2014 № УТС-6/2014 
с ПАО "Т Плюс"</t>
  </si>
  <si>
    <t>Муниципальный контракт от 24.09.2014 № УТС-5/2014 с ПАО "Т Плюс"</t>
  </si>
  <si>
    <t>Договор от 12.07.2016 № УМРГ-67/13-СНГ с АО "Газпром газораспределение Сыктывкар"</t>
  </si>
  <si>
    <t>Муниципальный контракт 
от 11.12.2014 № 1617.14-Бтс. 
с ООО ПСФ "Ухтажилстройпроект"</t>
  </si>
  <si>
    <t>Муниципальный контракт от 11.08.2015 № УМРГ-222/13-ПТО с ОА "Газпром газораспределение Сыктывкар"</t>
  </si>
  <si>
    <t>Договор от 09.06.2016 № УМРГ-73/08-ТО НС с ОА "Газпром газораспределение Сыктывкар"</t>
  </si>
  <si>
    <t>Муниципальный контракт от 26.01.2015 № 0307300008614001014-0065801-02 с ООО "Первый РСТ".
Срок выполнения работ - в течении 240 календарных дней со дня получения разрешения на строительство (разрешение на строительство от 07.04.2015): 02.12.2015.
Срок оплаты: по истечении 180 календарных дней со дня предоставления счёта -фактуры на оплату (30.05.2016).
Муниципальный контракт расторгнут 10.07.2018 (односторонний отказ Заказчика).</t>
  </si>
  <si>
    <t>Муниципальный контракт от 27.12.2013 №0307300008613000635-0065801-01
с ИП Шагако А.В.</t>
  </si>
  <si>
    <t>Муниципальный контракт от 30.06.2014 № 0307300008614000368-0065801-01 с ООО ПСФ "Ухтажилстройпроект"</t>
  </si>
  <si>
    <t>Муниципальный контракт 
от 12.03.2015 № 1631.15АН 
с ООО ПСФ "Ухтажилстройпроект"</t>
  </si>
  <si>
    <t>Муниципальный контракт 
от 01.12.2014 № 56-03768Ц/14
с ПАО "МРСК Северо-запада"</t>
  </si>
  <si>
    <t>Муниципальный контракт 
от 29.12.2014 № 57-11/14-К 
с МУП "Ухтаводоканал" МОГО "Ухта"</t>
  </si>
  <si>
    <t>Муниципальный контракт 
от 29.12.2014 № 57-11/14-В
с МУП "Ухтаводоканал" МОГО "Ухта"</t>
  </si>
  <si>
    <t>Муниципальный контракт 
от 05.02.2015 № УТС-33/2014
с ПАО "Т Плюс"</t>
  </si>
  <si>
    <t>Договор от 26.08.2016 № УМРГ-90/13-СВДГО с ОА "Газпром газораспределение Сыктывкар"</t>
  </si>
  <si>
    <t>Договор от 11.12.2014 № 1631.14-С2
с ООО ПСФ "Ухтажилстройпроект"</t>
  </si>
  <si>
    <t>Договор от 11.12.2014 № 1631.14-С2тс. 
с ООО ПСФ "Ухтажилстройпроект"</t>
  </si>
  <si>
    <t>Муниципальный контракт 
от 23.12.2014 № 133
с АУ РК "Управление государственной экспертизы РК"</t>
  </si>
  <si>
    <t>Муниципальный контракт от 11.08.2015 № УМРГ-224/13-ПТО с ОА "Газпром газораспределение Сыктывкар"</t>
  </si>
  <si>
    <t>Муниципальный контракт от 26.01.2015 № 0307300008614001013-0065801-02 с ООО "Первый РСТ".
Срок выполнения работ - в течении 255 календарных дней со дня разрешения на строительство (разрешение от 07.04.2015, 
срок работ завершения работ: 17.12.2015).
 Срок оплаты - по истечении 180 календарных дней со дня предоставления счёта -фактуры на оплату: 14.06.2016.
Муниципальный контракт расторгнут 03.07.2018 (односторонний отказ Заказчика).</t>
  </si>
  <si>
    <t>Договор от 30.04.2014 № 4 
с ООО ПСФ "Ухтажилстройпроект"</t>
  </si>
  <si>
    <t>Муниципальный контракт 
от 30.10.2014 № 0307300008614000932-0065801-01 
с ООО ПСФ "Ухтажилстройпроект"</t>
  </si>
  <si>
    <t>Муниципальный контракт 
от 18.03.2015  № 1641.15АН 
с ООО ПСФ "Ухтажилстройпроект"</t>
  </si>
  <si>
    <t>Муниципальный контракт 
от 01.12.2014 № 56-03748Ц/14
с ПАО "МРСК Северо-запада"</t>
  </si>
  <si>
    <t>Муниципальный контракт 
от 29.12.2014 № 62-12/14-К
с МУП "Ухтаводоканал" МОГО "Ухта"</t>
  </si>
  <si>
    <t>Муниципальный контракт 
от 29.12.2014 № 62-11/14-В
с МУП "Ухтаводоканал" МОГО "Ухта"</t>
  </si>
  <si>
    <t>Муниципальный контракт 
от 05.02.2015 № УТС-34/2014
с ПАО "Т Плюс"</t>
  </si>
  <si>
    <t>Договор от 21.07.2016 № УМРГ-72/13-СВДГО с АО "Газпром газораспределение Сыктывкар"</t>
  </si>
  <si>
    <t>Договор от 11.12.2014 № 1641.14-М6. 
с ООО ПСФ "Ухтажилстройпроект"</t>
  </si>
  <si>
    <t>Договор от 11.12.2014 № 1641.14-М6тс. 
с ООО ПСФ "Ухтажилстройпроект"</t>
  </si>
  <si>
    <t>Договор от 18.12.2014 № 132 
с АУ РК "Управление государственной экспертизы РК"</t>
  </si>
  <si>
    <t>Муниципальный контракт 
от 11.08.2015, № УМРГ-223/13-ПТО с ОА "Газпром газораспределение Сыктывкар"</t>
  </si>
  <si>
    <t>Договор от 29.09.2015 № ГСП-ТУ-877</t>
  </si>
  <si>
    <t>Договор от 02.04.2018 №125-04/18.5-Об
с ООО "Лэндер - Плюс"</t>
  </si>
  <si>
    <t>Договор от 24.07.2014 № 09 
с ИП Кривушев В.П.</t>
  </si>
  <si>
    <t>Договор от 24.02.2015 № 05/15 
с ИП Кривушев В.П.</t>
  </si>
  <si>
    <t>Муниципальный контракт  от 20.03.2015 № 0307300008615000022-0065801-01 
с ООО ПСФ "Ухтажилстройпроект"</t>
  </si>
  <si>
    <t>Муниципальный контракт  от 23.12.2014 № 0307300008614001055-0065801-01 
с ООО "Геодезист"</t>
  </si>
  <si>
    <t>Договор от 11.12.2014 № 1649.14 
с ООО ПСФ "Ухтажилстройпроект"</t>
  </si>
  <si>
    <t>Муниципальный контракт 
от 07.05.2015 № 23 
с ООО "Геодезист"</t>
  </si>
  <si>
    <t>Договор от 30.01.2015 № 01/15 
с ИП Кривушев В.П.</t>
  </si>
  <si>
    <t>Муниципальный контракт от 20.03.2015 № 0307300008615000021-0065801-01 с ООО ПСФ "Ухтажилстройпроект"</t>
  </si>
  <si>
    <t>Муниципальный контракт от 23.12.2014 № 03073600008614001055-0065801-01 с ООО "Геодезист"</t>
  </si>
  <si>
    <t>Договор от 11.12.2014 №1650.14 
с ООО ПСФ "Ухтажилстройпроект"</t>
  </si>
  <si>
    <t>Муниципальный контракт от 24.12.2016 № 0107300001216000597-0065801-01 с ООО "Аркада"</t>
  </si>
  <si>
    <t>Муниципальный контракт от 09.10.2017 № 0107300001217000822-0065801-01    с ИП Завьялова Н.И.</t>
  </si>
  <si>
    <t>Договор от 30.01.2015 № 02/15 
с ИП Кривушев Виктор Павлович</t>
  </si>
  <si>
    <t>Муниципальный контракт от 23.12.2014 № 0307300008614001055-0065801-01 с ООО "Геодезист"</t>
  </si>
  <si>
    <t>Договор от 11.12.2014 № 1651.14 
с ООО ПСФ "Ухтажилстройпроект"</t>
  </si>
  <si>
    <t>Договор от 11.12.2014 № 1652.14 
с ООО ПСФ "Ухтажилстройпроект"</t>
  </si>
  <si>
    <t>Муниципальный контракт от 23.12.2014 № 0307300008614001055-0065801-01 
с ООО "Геодезист"</t>
  </si>
  <si>
    <t>Муниципальный контаркт от 27.07.2015 № 0307300008615000389-0065801-01 
 с ООО "Капитель"</t>
  </si>
  <si>
    <t>Договор от 30.01.2015 № 03/15 
с ИП Кривушев В.П.</t>
  </si>
  <si>
    <t>Договор от 11.06.2015 № 24 
с ООО "Капитель"</t>
  </si>
  <si>
    <t>Договор  от 11.12.2014 № 1653.14 
с ООО ПСФ "Ухтажилстройпроект"</t>
  </si>
  <si>
    <t>Договор от 30.01.2015 № 04/15 
с ИП Кривушев Виктор Павлович</t>
  </si>
  <si>
    <t>ВСЕГО ПО МК 1-4 ЭТАПОВ</t>
  </si>
  <si>
    <t>1.1.1</t>
  </si>
  <si>
    <t>1.1.2</t>
  </si>
  <si>
    <t>Муниципальный контракт от 17.07.2014 №0307300008614000336-0065801-02 с ООО "Эталон".
Срок выполнения работ - в течении 250 дней со дня заключения контракта (24.03.2015),
доп. соглашение от 27.05.2015 №2
срок выполнения работ - 30.09.2015.
Срок оплаты: 28.03.2016  (по истечении 180 календарных дней со дня предоставления счёта -фактуры на оплату). 
Муниципальный контракт расторгнут 09.09.2016 (односторонний отказ Заказчика).</t>
  </si>
  <si>
    <t>Площадь строительства / приобретения / выкупа (расселяемая)</t>
  </si>
  <si>
    <t>Площадь строительства / приобретения  
(площадь приобретенных / построенных квартир)</t>
  </si>
  <si>
    <t xml:space="preserve">Площадь строительства (построенных домов) / приобретения  
</t>
  </si>
  <si>
    <t>На основании Акта о выявлении бездоговорного потребления тепловой энергии, теплоносителя 
от 26.12.2016 № 108 
Филиала "Коми" ПАО "Т Плюс" 
(сумма 247 871,98 рубль)</t>
  </si>
  <si>
    <t>На основании Акта о выявлении бездоговорного потребления тепловой энергии, теплоносителя 
от 26.12.2016 № 110 
Филиала "Коми" ПАО "Т Плюс"
(сумма 237 360,39 рублей)</t>
  </si>
  <si>
    <t>На основании Акта о выявлении бездоговорного потребления тепловой энергии, теплоносителя 
от 26.12.2016 № 111 
Филиала "Коми" ПАО "Т Плюс"
(сумма 187 695,77 рублей)</t>
  </si>
  <si>
    <t>На основании Акта о выявлении бездоговорного потребления тепловой энергии, теплоносителя 
от 26.12.2016 № 107 
Филиала "Коми" ПАО "Т Плюс"
(сумма 151 449,59 рублей)</t>
  </si>
  <si>
    <t>На основании Акта о выявлении бездоговорного потребления тепловой энергии, теплоносителя 
от 26.12.2016 № 109
Филиала "Коми" ПАО "Т Плюс"
(сумма 219 525,28 рублей)</t>
  </si>
  <si>
    <t>4.21.</t>
  </si>
  <si>
    <t>5.20.</t>
  </si>
  <si>
    <t xml:space="preserve">8. </t>
  </si>
  <si>
    <t>Реквизиты контракта / договора</t>
  </si>
  <si>
    <t xml:space="preserve">Сумма контракта / договора </t>
  </si>
  <si>
    <t>Оплачено по контрактам / договорам 
в 2018 г.</t>
  </si>
  <si>
    <t>Оплачено по контрактам / договорам 
в 2017 г.</t>
  </si>
  <si>
    <t>Оплачено по контрактам / договорам 
в 2016 г.</t>
  </si>
  <si>
    <t>Оплачено по контрактам / договорам 
в 2015 г.</t>
  </si>
  <si>
    <t>Оплачено по контрактам / договорам 
в 2014 г.</t>
  </si>
  <si>
    <t>Оплачено по контрактам / договорам 
в 2013 г.</t>
  </si>
  <si>
    <t>Договор от 20.12.2017 № 1246/1-17
с ИП Соболевский А.П.
Соглашение о расторжении договора подряда от 17.04.2019 (цена договора на момент заключения 
99 750,00 руб.;фактическая стоимость выполненных работ по договору - 86 625,00 руб.)</t>
  </si>
  <si>
    <t>Договор от 06.02.2018 № 1300/1-18 
с ИП Соболевский А.П.
Соглашение о расторжении договора подряда от 17.04.2019 (цена договора на момент заключения 
99 960,00 руб.;фактическая стоимость выполненных работ по договору - 89 964,00 руб.)</t>
  </si>
  <si>
    <t>Договор от 26.02.2018 № 1302/1-18 
с ИП Соболевский А.П.
Соглашение о расторжении договора подряда от 17.04.2019 (цена договора на момент заключения 
99 935,00 руб.;фактическая стоимость выполненных работ по договору - 95 590,00 руб.)</t>
  </si>
  <si>
    <t>Договор от 26.02.2018 № 1303/1-18 
с ИП Соболевский А.П.
Соглашение о расторжении договора подряда от 17.04.2019 (цена договора на момент заключения 
86 000,00 руб.;фактическая стоимость выполненных работ по договору - 45 333,00 руб.)</t>
  </si>
  <si>
    <t>Договор от 20.12.2017 № 1247/1-17 
с ИП Соболевский А.П.
Соглашение о расторжении договора подряда от 17.04.2019 (цена договора на момент заключения 
99 900,00 руб.;фактическая стоимость выполненных работ по договору - 91 800,00 руб.)</t>
  </si>
  <si>
    <t>2.24.</t>
  </si>
  <si>
    <t>2.23.</t>
  </si>
  <si>
    <t>2.22.</t>
  </si>
  <si>
    <t>2.21.</t>
  </si>
  <si>
    <t>Договор от 01.03.2016 № УМРГ-72/08-ТО НС с ОА "Газпром газораспределение Сыктывкар"
(Оплата по исполнительному листу от 23.06.2017 № ФС № 013899053 - по следующим объектам: ул. Молодежная, участок № 4, пгт. Шудаяг, ул. Совхозная, 24,  пгт. Шудаяг, ул. Совхозная, 26, ул. Молодежная, участок № 1, ул. Геологов, участок № 2, ул. Молодежная - ул. Геологов, участок № 3, ул. Геологов, участок № 5, ул. Молодежная, участок № 6)
На момент заключения цена договора составляла -
 3 442,72 руб. (ул. Молодежная, участок № 4 - 
1 747,14 руб.;
пгт. Шудаяг, ул. Совхозная, 24, 26 - 1 695,58 руб.)</t>
  </si>
  <si>
    <t>Договор от 01.03.2016 № УМРГ-72/08-ТО НС от ОА "Газпром газораспределение Сыктывкар"
(Оплата по исполнительному листу от 23.06.2017 № ФС № 013899053 - по следующим объектам: ул. Молодежная, участок № 4, пгт. Шудаяг, ул. Совхозная, 24,  пгт. Шудаяг, ул. Совхозная, 26, ул. Молодежная, участок № 1, ул. Геологов, участок № 2, ул. Молодежная - ул. Геологов, участок № 3, ул. Геологов, участок № 5, ул. Молодежная, участок № 6)
На момент заключения цена договора составляла -
 3 442,72 руб. (ул. Молодежная, участок № 4 - 
1 747,14 руб.;
пгт. Шудаяг, ул. Совхозная, 24, 26 - 1 695,58 руб.)</t>
  </si>
  <si>
    <t>Договор подряда от 25.10.2019 № 19062-ПУ с ООО "АРМ-Сервис"</t>
  </si>
  <si>
    <t>7.17.</t>
  </si>
  <si>
    <t>7.18.</t>
  </si>
  <si>
    <t>Поставка газа</t>
  </si>
  <si>
    <t>Проектные работы (разработка рабочей документации по ремонту вентканалов, признанных ограничено и неработоспособными, в кухнях жилых домов)</t>
  </si>
  <si>
    <t>1.31.</t>
  </si>
  <si>
    <t>3.29.</t>
  </si>
  <si>
    <t>2.20.</t>
  </si>
  <si>
    <t>2.19.</t>
  </si>
  <si>
    <t>Договор подряда от 29.08.2019 № 125-08/19 с ООО "Лэндер-Плюс"</t>
  </si>
  <si>
    <t>Оплачено по контрактам / договорам 
в 2019 г.</t>
  </si>
  <si>
    <t>ул. Совхозная, 26
(ул. Совхозная, д. 26)</t>
  </si>
  <si>
    <t>6</t>
  </si>
  <si>
    <t xml:space="preserve">Возмещение за непроведенный капитальный ремонт многоквартирного дома </t>
  </si>
  <si>
    <t>Авторский надзор за выполнением работ по установке гильз в вентиляционные каналы и дымоходы</t>
  </si>
  <si>
    <t>4.22.</t>
  </si>
  <si>
    <t>5.21.</t>
  </si>
  <si>
    <t>3.30.</t>
  </si>
  <si>
    <t>2.25.</t>
  </si>
  <si>
    <t>1.32.</t>
  </si>
  <si>
    <t xml:space="preserve">С целью устранения строительно-технических недостатков жилых помещений, на основании Протокола проведения совещения по вопросу газоснабжения домов в пос.Дальний, построенных в рамках 1 и 2 этапа программы переселения, а также устранения строительных замечаний в МКД по ул.Клубная, 11 в г.Ухте
Муниципальный контракт от 20.04.2020 № 01073000003200000810002  с ООО "АльфаЭлектро" на сумму 1 042 581,37 рубль. Расторгнут по соглашению сторон 13.07.2020 на сумму 1 029 448,22 рублей. </t>
  </si>
  <si>
    <t>С целью устранения строительно-технических недостатков жилых помещений, на основании Протокола проведения совещения по вопросу газоснабжения домов в пос.Дальний, построенных в рамках 1 и 2 этапа программы переселения, а также устранения строительных замечаний в МКД по ул.Клубная, 11 в 
Муниципальный контракт от 08.06.2020 № 01073000003200002090001  с ООО "Интеграл-Сервис" на сумму 1 292 360,38 рублей.
Расторгут по соглашению сторон на сумму 1 107 572,93 рубля (Соглашение о расторжении от 05.08.2020).</t>
  </si>
  <si>
    <t>С целью устранения строительно-технических недостатков жилых помещений, на основании Протокола проведения совещения по вопросу газоснабжения домов в пос.Дальний, построенных в рамках 1 и 2 этапа программы переселения, а также устранения строительных замечаний в МКД по ул.Клубная, 11 в г.Ухте
Муниципальный контракт от 20.04.2020 № 01073000003200000800001  с ООО "НПО Безопасность12". Расторгнут по соглашению сторон 06.05.2020. 
Муниципальный контракт от 13.05.2020 № 01073000003200000800002  с ООО "АльфаЭлектро", на основании ч. 17.1 ст. 95 Федерального закона от 05.04.2013 № 44-ФЗ на сумму 1 129 801,57 рубль. 
Расторгнут по соглашению сторон 28.07.2020 на сумму 1 055 172,25 рубля.</t>
  </si>
  <si>
    <t>Договор от 14.05.2020 № 05/2020-АН с ООО "АльфаЭлектро" заключен на сумму 2 259,60 рублей. 
Расторгнут по соглашению сторон 20.08.2020 на сумму 2 110,34 рублей.</t>
  </si>
  <si>
    <t xml:space="preserve">Договор от 21.04.2020 № 01/2020-АН с ООО "АльфаЭлектро" заключен на сумму 2 085,16 рублей. 
Расторгнут по соглашению сторон 20.08.2020 на сумму 2 058,90 рублей. </t>
  </si>
  <si>
    <t>С целью устранения строительно-технических недостатков жилых помещений, на основании Протокола проведения совещения по вопросу газоснабжения домов в пос.Дальний, построенных в рамках 1 и 2 этапа программы переселения, а также устранения строительных замечаний в МКД по ул.Клубная, 11 в г.Ухте
Муниципальный контракт от 20.04.2020 № 01073000003200000740001  с ООО "НПО Безопасность12". Расторгнут по соглашению сторон 06.05.2020. 
Муниципальный контракт от 13.05.2020 № 01073000003200000740002  с ООО "АльфаЭлектро", на основании ч. 17.1 ст. 95 Федерального закона от 05.04.2013 № 44-ФЗ заключн на сумму 1 089 673,58 рубля.
Расторгнут на сумму 950 190,02 рубля (Соглашение о расторжении от 22.09.2020).</t>
  </si>
  <si>
    <t>1.33.</t>
  </si>
  <si>
    <t>Прочистка вентялиционных каналов</t>
  </si>
  <si>
    <t>Договор от 09.06.2020 № 06/2020-АН с ООО "АльфаЭлектро" заключен на сумму 2 584,72 рубля.
Расторгнут по соглашению сторон 20.08.2020 на сумму 2 215,15 рублей.</t>
  </si>
  <si>
    <t>Договор от 02.07.2020 № 07/20-01 с ООО "Интеграл-Сервис" заключен на сумму 35 193,02 рубля.</t>
  </si>
  <si>
    <t>3.31.</t>
  </si>
  <si>
    <t xml:space="preserve">Договор от 02.07.2020 № 07/20-02 с ООО "АльфаЭлектро" заключен на сумму 34 716,70 рублей. </t>
  </si>
  <si>
    <t xml:space="preserve">С целью устранения строительно-технических недостатков жилых помещений, на основании Протокола проведения совещения по вопросу газоснабжения домов в пос.Дальний, построенных в рамках 1 и 2 этапа программы переселения, а также устранения строительных замечаний в МКД по ул.Клубная, 11 в г.Ухте
Муниципальный контракт от 20.04.2020 № 01073000003200000750001  с ООО "НПО Безопасность12". Расторгнут по соглашению сторон 06.05.2020. 
Муниципальный контракт от 13.05.2020 № 01073000003200000750002  заключен с ООО "АльфаЭлектро", на основании ч. 17.1 ст. 95 Федерального закона от 05.04.2013 № 44-ФЗ, на сумму 1 185 390,92 рублей. Расторгнут по соглашению сторон на сумму 1 137 318,14 рублей (Соглашение о расторжении от 05.10.2020). </t>
  </si>
  <si>
    <t>Договор от 14.05.2020 № 05/2020-АН с ООО "АльфаЭлектро" заключен на сумму 2 370,78 рублей. 
Расторгнут по соглашению сторон на сумму 2 274,64 рубля.</t>
  </si>
  <si>
    <t>С целью устранения строительно-технических недостатков жилых помещений, на основании Протокола проведения совещения по вопросу газоснабжения домов в пос.Дальний, построенных в рамках 1 и 2 этапа программы переселения, а также устранения строительных замечаний в МКД по ул.Клубная, 11 в г.Ухте
Муниципальный контракт от 20.04.2020 № 01073000003200000790001  с ООО "НПО Безопасность12".Расторгнут по соглашению сторон 06.05.2020. 
Муниципальный контракт от 13.05.2020 № 01073000003200000790002 заключен  с ООО "АльфаЭлектро", на основании ч. 17.1 ст. 95 Федерального закона от 05.04.2013 № 44-ФЗ, на сумму 1 082 605,75 рублей. 
Расторгнут по соглашению сторон на сумму 954 206,11 рублей (Соглашение о расторжении от 05.10.2020).</t>
  </si>
  <si>
    <t>Договор от 14.05.2020 № 02/2020-АН с ООО "АльфаЭлектро" заключен на сумму 2 165,21 рублей.
Расторгнут по соглашению сторон на сумму 1 908,41 рублей (Соглашение о расторжении от 05.10.2020).</t>
  </si>
  <si>
    <t>Договор от 14.05.2020 № 04/2020-АН с ООО "АльфаЭлектро" заключен на сумму 2 179,35 рублей.
Расторгнут по соглашению сторон 05.10.2020 на сумму 1900,38 рублей (Соглашение о расторжении от 05.10.2020).</t>
  </si>
  <si>
    <t>Договор подряда от 23.12.2019 №20 заключен с ООО "ЖИЛТЕХКОНТРОЛЬ" на сумму 30 280,09 рублей.
Расторгнут по соглашению сторон на сумму 0,00 рублей (Соглашение о расторжении от 23.01.2020).</t>
  </si>
  <si>
    <t>2.26.</t>
  </si>
  <si>
    <t>Договор от 19.11.2020 № 11/2020-01 заключен  с ООО СК «РЕСУРС»</t>
  </si>
  <si>
    <t>5.22.</t>
  </si>
  <si>
    <t>Договор от 19.11.2020 № 11/2020-02 заключен  с ООО СК «РЕСУРС»</t>
  </si>
  <si>
    <t>5.23.</t>
  </si>
  <si>
    <t>Договор от 19.11.2020 № 11/2020-03 заключен  с ООО СК «РЕСУРС»</t>
  </si>
  <si>
    <t>Договор от 19.11.2020 № 11/2020-04 заключен  с ООО СК «РЕСУРС»</t>
  </si>
  <si>
    <t>Договор от 19.11.2020 № 11/2020-05 заключен  с ООО СК «РЕСУРС» на сумму 78 959,73 рублей.
Расторгнут по соглашению сторон 30.12.2020 на сумму 68 615,17 рублей.</t>
  </si>
  <si>
    <t>Оплачено по контрактам / договорам 
в 2020 г.</t>
  </si>
  <si>
    <t>Договор поставки газа от 01.06.2016 № 23-4-16.1172(333) с ООО "Газпром межрегионгаз Ухта" (211, 76 руб.)</t>
  </si>
  <si>
    <t>Договор 
от 02.04.2018 № 125-04/18.4-Об  
с ООО "Лэндер - Плюс" на сумму 81 000,00 рублей. Расторгнут по соглашению сторон 10.06.2021 на сумму фактически выполненных работ - 72 000,00 рублей.</t>
  </si>
  <si>
    <t>Оплачено по контрактам / договорам 
в 2021 г.</t>
  </si>
  <si>
    <t>Остаток по контрактам / договорам на 01.01.2022 г., руб.                (гр.5-гр.10-гр.15-гр.20-гр.25-гр.30-гр.35- гр. 40  - гр. 45- гр. 50)</t>
  </si>
  <si>
    <t>Лимит на 2022, руб.,
 в том числе (гр.60+гр.61+
гр.62+гр.63)</t>
  </si>
  <si>
    <t>Дополнительная потребность в лимитах, руб.,
 в том числе (гр.65+гр.66+
гр.67+гр.68)</t>
  </si>
  <si>
    <t>Постановлением арбитражного суда апелляционной инстанции (г. Киров) от 27.11.2018 по делу № А29-10413/2016 с МУ УКС  взыскивается 16 389 445,60 рублей в пользу ООО "Стройинвест" (договор уступки права (требования) заключен с ООО "Эталон" 11.11.2016):
1. 13 343 894,03 рубля  - задолженность за выполненные и принятые МУ УКС работы;
2.2 839 787,57 рублей - работы, признанные судом надлежаще выполненными подрядчиком.</t>
  </si>
  <si>
    <t>Информация по I, II, III и IV этапу   реализации региональной адресной программы по переселению граждан из аварийного жилищного фонда по состоянию на 01.04.2022 год</t>
  </si>
  <si>
    <t>Расход на 01.04.2022, руб., в том числе (гр.70+гр.71+
гр.72+гр.73)</t>
  </si>
  <si>
    <t xml:space="preserve">Остаток по контрактам  на 01.04.2022 г., руб.               </t>
  </si>
  <si>
    <t>ул. Молодежная, участок 1 
(ул. Молодежная, д. 18)</t>
  </si>
  <si>
    <t>ул. Геологов, участок 2
(ул. Геологов, д. 15)</t>
  </si>
  <si>
    <r>
      <t xml:space="preserve">Выполнение ремонтных работ жилых помещений 
</t>
    </r>
    <r>
      <rPr>
        <i/>
        <sz val="12"/>
        <rFont val="Times New Roman"/>
        <family val="1"/>
        <charset val="204"/>
      </rPr>
      <t>(г. Ухта, ул. Геологов,  д. 15, кв. 11)</t>
    </r>
  </si>
  <si>
    <t>ул. Молодежная -
Геологов, участок 3
(ул. Геологов, д. 13)</t>
  </si>
  <si>
    <t xml:space="preserve">Решением Арбитражного суда РК (г. Сыктывкар) от 22.08.2018 по делу № А29-2776/2018 с МУ УКС  подлежало взысканию 19 170 180,91 рублей в пользу ООО "Единый Бизнес Портал" (договор уступки права (требования) заключен с ООО "Эталон"):
1. 14 345 772,51 рубля (строка 73, столбец 40) - задолженность за выполненные и принятые МУ УКС работы;
2. 4 824 408,40 рублей - работы, признанные судом надлежаще выполненными подрядчиком.
Также подлежали взысканию расходы по уплате государственной пошлины в сумме 11 374, 57 рубля, расходы по уплате судебной экспертизы в сумме 235 899,00 рублей.
МУ УКС не согласилось с принятым решением и обратилось во Второй арбитражный апелляционный суд с жалобой. 
Постановлением Второго арбитражного апелляционного суда (г. Киров) от 19.12.2018 по делу № А29-2776/2018 с МУ УКС  взыскано: 
1. 14 345 772,51 рубля (строка 73, столбец 40) - задолженность за выполненные и принятые МУ УКС работы;
2. 5 197 255,34 рублей (строка 75, столбец 40)- работы, признанные судом надлежаще выполненными подрядчиком.
Также взыскиваются расходы по уплате государственной пошлины в сумме 2 892,00 рубля, расходы по уплате судебной экспертизы в сумме 260 280,00 рублей.
МУ УКС не согласилось с принятым решением и направило кассационную жалобу  22.01.2019 в Арбитражный суд Волго-Вятского округа.
</t>
  </si>
  <si>
    <t>ул. Молодежная, участок 4
(ул. Молодежная, д. 19а)</t>
  </si>
  <si>
    <t>ул. Геологов, участок 5
(ул. Геологов, д. 1)</t>
  </si>
  <si>
    <r>
      <t xml:space="preserve">Выполнение ремонтных работ жилых помещений 
</t>
    </r>
    <r>
      <rPr>
        <i/>
        <sz val="12"/>
        <rFont val="Times New Roman"/>
        <family val="1"/>
        <charset val="204"/>
      </rPr>
      <t>(г. Ухта, ул. Геологов,  д. 1, кв. 3)</t>
    </r>
  </si>
  <si>
    <r>
      <t xml:space="preserve">Выполнение ремонтных работ жилых помещений 
</t>
    </r>
    <r>
      <rPr>
        <i/>
        <sz val="12"/>
        <rFont val="Times New Roman"/>
        <family val="1"/>
        <charset val="204"/>
      </rPr>
      <t>(г. Ухта, ул. Геологов,  д. 1, кв. 6)</t>
    </r>
  </si>
  <si>
    <t>ул. Совхозная, 24
(ул. Совхозная, д. 24)</t>
  </si>
  <si>
    <t>пер. Больничный
(пер. Больничный, д. 4)</t>
  </si>
  <si>
    <t>Реализация мероприятий путем выкупа у собственников  для расселения  2 квартиры аварийного жилищного фонда, включая компенсацию за непроведенный капитальный ремонт</t>
  </si>
  <si>
    <t>ул. Молодежная, участок 6
(ул. Молодежная, д. 16/9)</t>
  </si>
  <si>
    <r>
      <t xml:space="preserve">Выполнение ремонтных работ жилых помещений 
</t>
    </r>
    <r>
      <rPr>
        <i/>
        <sz val="12"/>
        <rFont val="Times New Roman"/>
        <family val="1"/>
        <charset val="204"/>
      </rPr>
      <t>(г. Ухта, ул. Молодежная,  д. 16/9, кв. 13)</t>
    </r>
  </si>
  <si>
    <r>
      <t xml:space="preserve">Выполнение ремонтных работ жилых помещений 
</t>
    </r>
    <r>
      <rPr>
        <i/>
        <sz val="12"/>
        <rFont val="Times New Roman"/>
        <family val="1"/>
        <charset val="204"/>
      </rPr>
      <t>(г. Ухта, ул. Молодежная,  д. 16/9, кв. 22)</t>
    </r>
  </si>
  <si>
    <t xml:space="preserve">Реализация мероприятий путем выкупа у собственников  для расселения  1 квартиры аварийного жилищного фонда </t>
  </si>
  <si>
    <t>Заключены 47 муниципальных контрактов                                                                                   (47 квартир)</t>
  </si>
  <si>
    <t>Заключены 2 муниципальных контракта (2 квартиры) с ООО "Юридический информационный сервис".
Муниципальный контракты расторгнуты 23.10.2017 (односторонний отказ Заказчика).
Решениями Арбитражного суда Республики Коми, Постановлениями арбитражного суда апелляционной инстанции, Постановлением арбитражного суда кассационной инстанции односторонние отказы признаны недействительными.</t>
  </si>
  <si>
    <t xml:space="preserve">Реализация мероприятий путем выкупа у собственников  для расселения  122 квартир аварийного жилищного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</si>
</sst>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u/>
      <sz val="12"/>
      <color rgb="FF00B050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b/>
      <u/>
      <sz val="12"/>
      <color rgb="FF7030A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rgb="FFCC0066"/>
      <name val="Times New Roman"/>
      <family val="1"/>
      <charset val="204"/>
    </font>
    <font>
      <b/>
      <u/>
      <sz val="12"/>
      <color rgb="FF009900"/>
      <name val="Times New Roman"/>
      <family val="1"/>
      <charset val="204"/>
    </font>
    <font>
      <i/>
      <sz val="12"/>
      <color rgb="FF009900"/>
      <name val="Times New Roman"/>
      <family val="1"/>
      <charset val="204"/>
    </font>
    <font>
      <b/>
      <sz val="12"/>
      <color rgb="FF0099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1"/>
      <color rgb="FFCC006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3"/>
      <name val="Times New Roman"/>
      <family val="1"/>
      <charset val="204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9" fontId="34" fillId="0" borderId="0" applyFont="0" applyFill="0" applyBorder="0" applyAlignment="0" applyProtection="0"/>
    <xf numFmtId="4" fontId="54" fillId="0" borderId="16">
      <alignment horizontal="right" vertical="top" shrinkToFit="1"/>
    </xf>
  </cellStyleXfs>
  <cellXfs count="443">
    <xf numFmtId="0" fontId="0" fillId="0" borderId="0" xfId="0"/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6" fillId="6" borderId="0" xfId="0" applyNumberFormat="1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5" borderId="2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left" vertical="center" wrapText="1"/>
    </xf>
    <xf numFmtId="4" fontId="6" fillId="3" borderId="6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" fontId="23" fillId="5" borderId="5" xfId="0" applyNumberFormat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3" fillId="5" borderId="1" xfId="0" applyNumberFormat="1" applyFont="1" applyFill="1" applyBorder="1" applyAlignment="1">
      <alignment horizontal="center" vertical="center" wrapText="1"/>
    </xf>
    <xf numFmtId="4" fontId="23" fillId="6" borderId="1" xfId="0" applyNumberFormat="1" applyFont="1" applyFill="1" applyBorder="1" applyAlignment="1">
      <alignment horizontal="right" vertical="center" wrapText="1"/>
    </xf>
    <xf numFmtId="4" fontId="23" fillId="6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4" fontId="23" fillId="3" borderId="6" xfId="0" applyNumberFormat="1" applyFont="1" applyFill="1" applyBorder="1" applyAlignment="1">
      <alignment horizontal="center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5" fillId="6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 vertical="center" wrapText="1"/>
    </xf>
    <xf numFmtId="4" fontId="1" fillId="6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vertical="center" wrapText="1"/>
    </xf>
    <xf numFmtId="49" fontId="5" fillId="4" borderId="5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" fontId="26" fillId="5" borderId="1" xfId="0" applyNumberFormat="1" applyFont="1" applyFill="1" applyBorder="1" applyAlignment="1">
      <alignment horizontal="right" vertical="center" wrapText="1"/>
    </xf>
    <xf numFmtId="4" fontId="26" fillId="3" borderId="1" xfId="0" applyNumberFormat="1" applyFont="1" applyFill="1" applyBorder="1" applyAlignment="1">
      <alignment horizontal="right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vertical="center" wrapText="1"/>
    </xf>
    <xf numFmtId="4" fontId="28" fillId="3" borderId="8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9" fillId="7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4" fontId="2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horizontal="right" vertical="center" wrapText="1"/>
    </xf>
    <xf numFmtId="0" fontId="31" fillId="9" borderId="2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35" fillId="0" borderId="0" xfId="0" applyNumberFormat="1" applyFont="1"/>
    <xf numFmtId="4" fontId="35" fillId="0" borderId="0" xfId="0" applyNumberFormat="1" applyFont="1" applyAlignment="1">
      <alignment wrapText="1"/>
    </xf>
    <xf numFmtId="4" fontId="16" fillId="3" borderId="0" xfId="0" applyNumberFormat="1" applyFont="1" applyFill="1" applyBorder="1" applyAlignment="1">
      <alignment horizontal="center" vertical="center" wrapText="1"/>
    </xf>
    <xf numFmtId="9" fontId="35" fillId="0" borderId="0" xfId="1" applyFont="1"/>
    <xf numFmtId="4" fontId="35" fillId="0" borderId="1" xfId="0" applyNumberFormat="1" applyFont="1" applyBorder="1"/>
    <xf numFmtId="4" fontId="36" fillId="0" borderId="1" xfId="0" applyNumberFormat="1" applyFont="1" applyBorder="1"/>
    <xf numFmtId="4" fontId="6" fillId="8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6" fillId="10" borderId="1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center" wrapText="1"/>
    </xf>
    <xf numFmtId="4" fontId="26" fillId="11" borderId="1" xfId="0" applyNumberFormat="1" applyFont="1" applyFill="1" applyBorder="1" applyAlignment="1">
      <alignment horizontal="center" vertical="center" wrapText="1"/>
    </xf>
    <xf numFmtId="4" fontId="37" fillId="11" borderId="1" xfId="0" applyNumberFormat="1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right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49" fontId="37" fillId="11" borderId="1" xfId="0" applyNumberFormat="1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left" vertical="center" wrapText="1"/>
    </xf>
    <xf numFmtId="0" fontId="38" fillId="11" borderId="1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 wrapText="1"/>
    </xf>
    <xf numFmtId="0" fontId="26" fillId="3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4" fontId="26" fillId="2" borderId="0" xfId="0" applyNumberFormat="1" applyFont="1" applyFill="1" applyAlignment="1">
      <alignment horizontal="left" vertical="center" wrapText="1"/>
    </xf>
    <xf numFmtId="4" fontId="26" fillId="3" borderId="0" xfId="0" applyNumberFormat="1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4" fontId="26" fillId="6" borderId="1" xfId="0" applyNumberFormat="1" applyFont="1" applyFill="1" applyBorder="1" applyAlignment="1">
      <alignment horizontal="left" vertical="center" wrapText="1"/>
    </xf>
    <xf numFmtId="4" fontId="26" fillId="6" borderId="0" xfId="0" applyNumberFormat="1" applyFont="1" applyFill="1" applyBorder="1" applyAlignment="1">
      <alignment horizontal="left" vertical="center" wrapText="1"/>
    </xf>
    <xf numFmtId="4" fontId="26" fillId="6" borderId="0" xfId="0" applyNumberFormat="1" applyFont="1" applyFill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12" fillId="3" borderId="1" xfId="0" applyNumberFormat="1" applyFont="1" applyFill="1" applyBorder="1" applyAlignment="1">
      <alignment horizontal="right" vertical="center" wrapText="1"/>
    </xf>
    <xf numFmtId="4" fontId="39" fillId="5" borderId="1" xfId="0" applyNumberFormat="1" applyFont="1" applyFill="1" applyBorder="1" applyAlignment="1">
      <alignment horizontal="right" vertical="center" wrapText="1"/>
    </xf>
    <xf numFmtId="0" fontId="41" fillId="0" borderId="0" xfId="0" applyFont="1" applyAlignment="1"/>
    <xf numFmtId="0" fontId="40" fillId="0" borderId="0" xfId="0" applyFont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4" fontId="26" fillId="1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4" fontId="5" fillId="12" borderId="5" xfId="0" applyNumberFormat="1" applyFont="1" applyFill="1" applyBorder="1" applyAlignment="1">
      <alignment horizontal="center" vertical="center" wrapText="1"/>
    </xf>
    <xf numFmtId="4" fontId="5" fillId="1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0" fontId="26" fillId="14" borderId="2" xfId="0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left" vertical="center" wrapText="1"/>
    </xf>
    <xf numFmtId="0" fontId="38" fillId="14" borderId="5" xfId="0" applyFont="1" applyFill="1" applyBorder="1" applyAlignment="1">
      <alignment horizontal="center"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4" fontId="26" fillId="14" borderId="1" xfId="0" applyNumberFormat="1" applyFont="1" applyFill="1" applyBorder="1" applyAlignment="1">
      <alignment horizontal="center" vertical="center" wrapText="1"/>
    </xf>
    <xf numFmtId="4" fontId="23" fillId="3" borderId="6" xfId="0" applyNumberFormat="1" applyFont="1" applyFill="1" applyBorder="1" applyAlignment="1">
      <alignment vertical="center" wrapText="1"/>
    </xf>
    <xf numFmtId="4" fontId="23" fillId="12" borderId="5" xfId="0" applyNumberFormat="1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center" wrapText="1"/>
    </xf>
    <xf numFmtId="0" fontId="43" fillId="14" borderId="5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4" fillId="14" borderId="5" xfId="0" applyFont="1" applyFill="1" applyBorder="1" applyAlignment="1">
      <alignment horizontal="center" vertical="center" wrapText="1"/>
    </xf>
    <xf numFmtId="4" fontId="45" fillId="3" borderId="1" xfId="0" applyNumberFormat="1" applyFont="1" applyFill="1" applyBorder="1" applyAlignment="1">
      <alignment horizontal="center" vertical="center" wrapText="1"/>
    </xf>
    <xf numFmtId="4" fontId="46" fillId="3" borderId="1" xfId="0" applyNumberFormat="1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4" fontId="45" fillId="5" borderId="1" xfId="0" applyNumberFormat="1" applyFont="1" applyFill="1" applyBorder="1" applyAlignment="1">
      <alignment horizontal="center" vertical="center" wrapText="1"/>
    </xf>
    <xf numFmtId="4" fontId="45" fillId="3" borderId="6" xfId="0" applyNumberFormat="1" applyFont="1" applyFill="1" applyBorder="1" applyAlignment="1">
      <alignment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4" fontId="45" fillId="3" borderId="6" xfId="0" applyNumberFormat="1" applyFont="1" applyFill="1" applyBorder="1" applyAlignment="1">
      <alignment horizontal="center" vertical="center" wrapText="1"/>
    </xf>
    <xf numFmtId="4" fontId="45" fillId="3" borderId="8" xfId="0" applyNumberFormat="1" applyFont="1" applyFill="1" applyBorder="1" applyAlignment="1">
      <alignment horizontal="center" vertical="center" wrapText="1"/>
    </xf>
    <xf numFmtId="4" fontId="45" fillId="5" borderId="5" xfId="0" applyNumberFormat="1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right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48" fillId="3" borderId="1" xfId="0" applyNumberFormat="1" applyFont="1" applyFill="1" applyBorder="1" applyAlignment="1">
      <alignment horizontal="center" vertical="center" wrapText="1"/>
    </xf>
    <xf numFmtId="4" fontId="45" fillId="9" borderId="1" xfId="0" applyNumberFormat="1" applyFont="1" applyFill="1" applyBorder="1" applyAlignment="1">
      <alignment horizontal="center" vertical="center" wrapText="1"/>
    </xf>
    <xf numFmtId="4" fontId="49" fillId="6" borderId="1" xfId="0" applyNumberFormat="1" applyFont="1" applyFill="1" applyBorder="1" applyAlignment="1">
      <alignment horizontal="center" vertical="center" wrapText="1"/>
    </xf>
    <xf numFmtId="4" fontId="45" fillId="6" borderId="1" xfId="0" applyNumberFormat="1" applyFont="1" applyFill="1" applyBorder="1" applyAlignment="1">
      <alignment horizontal="center" vertical="center" wrapText="1"/>
    </xf>
    <xf numFmtId="4" fontId="45" fillId="6" borderId="1" xfId="0" applyNumberFormat="1" applyFont="1" applyFill="1" applyBorder="1" applyAlignment="1">
      <alignment horizontal="right" vertical="center" wrapText="1"/>
    </xf>
    <xf numFmtId="4" fontId="45" fillId="12" borderId="5" xfId="0" applyNumberFormat="1" applyFont="1" applyFill="1" applyBorder="1" applyAlignment="1">
      <alignment horizontal="center" vertical="center" wrapText="1"/>
    </xf>
    <xf numFmtId="0" fontId="50" fillId="11" borderId="1" xfId="0" applyFont="1" applyFill="1" applyBorder="1" applyAlignment="1">
      <alignment horizontal="center" vertical="center" wrapText="1"/>
    </xf>
    <xf numFmtId="0" fontId="50" fillId="14" borderId="5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wrapText="1"/>
    </xf>
    <xf numFmtId="4" fontId="35" fillId="0" borderId="12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  <xf numFmtId="4" fontId="35" fillId="0" borderId="4" xfId="0" applyNumberFormat="1" applyFont="1" applyBorder="1" applyAlignment="1">
      <alignment wrapText="1"/>
    </xf>
    <xf numFmtId="4" fontId="35" fillId="0" borderId="0" xfId="0" applyNumberFormat="1" applyFont="1" applyBorder="1" applyAlignment="1">
      <alignment wrapText="1"/>
    </xf>
    <xf numFmtId="4" fontId="35" fillId="0" borderId="13" xfId="0" applyNumberFormat="1" applyFont="1" applyBorder="1" applyAlignment="1">
      <alignment wrapText="1"/>
    </xf>
    <xf numFmtId="4" fontId="35" fillId="0" borderId="14" xfId="0" applyNumberFormat="1" applyFont="1" applyBorder="1" applyAlignment="1">
      <alignment wrapText="1"/>
    </xf>
    <xf numFmtId="4" fontId="35" fillId="0" borderId="9" xfId="0" applyNumberFormat="1" applyFont="1" applyBorder="1" applyAlignment="1">
      <alignment wrapText="1"/>
    </xf>
    <xf numFmtId="4" fontId="35" fillId="0" borderId="15" xfId="0" applyNumberFormat="1" applyFont="1" applyBorder="1" applyAlignment="1">
      <alignment wrapText="1"/>
    </xf>
    <xf numFmtId="4" fontId="51" fillId="0" borderId="0" xfId="0" applyNumberFormat="1" applyFont="1" applyBorder="1" applyAlignment="1">
      <alignment wrapText="1"/>
    </xf>
    <xf numFmtId="4" fontId="51" fillId="0" borderId="13" xfId="0" applyNumberFormat="1" applyFont="1" applyBorder="1" applyAlignment="1">
      <alignment wrapText="1"/>
    </xf>
    <xf numFmtId="4" fontId="51" fillId="0" borderId="9" xfId="0" applyNumberFormat="1" applyFont="1" applyBorder="1" applyAlignment="1">
      <alignment wrapText="1"/>
    </xf>
    <xf numFmtId="4" fontId="51" fillId="0" borderId="15" xfId="0" applyNumberFormat="1" applyFont="1" applyBorder="1" applyAlignment="1">
      <alignment wrapText="1"/>
    </xf>
    <xf numFmtId="4" fontId="36" fillId="0" borderId="0" xfId="0" applyNumberFormat="1" applyFont="1" applyAlignment="1">
      <alignment wrapText="1"/>
    </xf>
    <xf numFmtId="0" fontId="35" fillId="0" borderId="1" xfId="0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6" fillId="0" borderId="1" xfId="0" applyFont="1" applyBorder="1" applyAlignment="1">
      <alignment horizontal="right"/>
    </xf>
    <xf numFmtId="4" fontId="36" fillId="0" borderId="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6" fillId="11" borderId="5" xfId="0" applyFont="1" applyFill="1" applyBorder="1" applyAlignment="1">
      <alignment horizontal="center" vertical="center" wrapText="1"/>
    </xf>
    <xf numFmtId="0" fontId="37" fillId="13" borderId="2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right" vertical="center" wrapText="1"/>
    </xf>
    <xf numFmtId="0" fontId="32" fillId="6" borderId="5" xfId="0" applyFont="1" applyFill="1" applyBorder="1" applyAlignment="1">
      <alignment horizontal="right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14" fontId="42" fillId="3" borderId="9" xfId="0" applyNumberFormat="1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 applyProtection="1">
      <alignment horizontal="center" vertical="center" wrapText="1"/>
      <protection hidden="1"/>
    </xf>
    <xf numFmtId="0" fontId="56" fillId="3" borderId="0" xfId="0" applyFont="1" applyFill="1" applyProtection="1">
      <protection hidden="1"/>
    </xf>
    <xf numFmtId="0" fontId="55" fillId="3" borderId="9" xfId="0" applyFont="1" applyFill="1" applyBorder="1" applyAlignment="1" applyProtection="1">
      <alignment horizontal="center" vertical="center" wrapText="1"/>
      <protection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center" wrapText="1"/>
      <protection hidden="1"/>
    </xf>
    <xf numFmtId="4" fontId="6" fillId="3" borderId="0" xfId="0" applyNumberFormat="1" applyFont="1" applyFill="1" applyBorder="1" applyAlignment="1" applyProtection="1">
      <alignment vertical="center" wrapText="1"/>
      <protection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4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3" fillId="3" borderId="1" xfId="0" applyFont="1" applyFill="1" applyBorder="1" applyAlignment="1" applyProtection="1">
      <alignment horizontal="center" vertical="top" wrapText="1"/>
      <protection hidden="1"/>
    </xf>
    <xf numFmtId="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3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left" vertical="center" wrapText="1"/>
      <protection hidden="1"/>
    </xf>
    <xf numFmtId="0" fontId="53" fillId="3" borderId="2" xfId="0" applyFont="1" applyFill="1" applyBorder="1" applyAlignment="1" applyProtection="1">
      <alignment horizontal="left" vertical="center" wrapText="1"/>
      <protection hidden="1"/>
    </xf>
    <xf numFmtId="0" fontId="53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53" fillId="3" borderId="1" xfId="0" applyFont="1" applyFill="1" applyBorder="1" applyAlignment="1" applyProtection="1">
      <alignment horizontal="left" vertical="center" wrapText="1"/>
      <protection hidden="1"/>
    </xf>
    <xf numFmtId="49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3" fillId="3" borderId="6" xfId="0" applyFont="1" applyFill="1" applyBorder="1" applyAlignment="1" applyProtection="1">
      <alignment horizontal="center" vertical="center" wrapText="1"/>
      <protection hidden="1"/>
    </xf>
    <xf numFmtId="4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53" fillId="3" borderId="7" xfId="0" applyFont="1" applyFill="1" applyBorder="1" applyAlignment="1" applyProtection="1">
      <alignment horizontal="center" vertical="center" wrapText="1"/>
      <protection hidden="1"/>
    </xf>
    <xf numFmtId="4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3" fillId="3" borderId="8" xfId="0" applyFont="1" applyFill="1" applyBorder="1" applyAlignment="1" applyProtection="1">
      <alignment horizontal="center" vertical="center" wrapText="1"/>
      <protection hidden="1"/>
    </xf>
    <xf numFmtId="4" fontId="12" fillId="3" borderId="8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4" fontId="52" fillId="3" borderId="8" xfId="0" applyNumberFormat="1" applyFont="1" applyFill="1" applyBorder="1" applyAlignment="1" applyProtection="1">
      <alignment horizontal="center"/>
      <protection hidden="1"/>
    </xf>
    <xf numFmtId="49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" fontId="6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1" xfId="0" applyNumberFormat="1" applyFont="1" applyFill="1" applyBorder="1" applyAlignment="1" applyProtection="1">
      <alignment horizontal="center" vertical="top" wrapText="1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4" fontId="5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3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vertical="center" wrapText="1"/>
      <protection hidden="1"/>
    </xf>
    <xf numFmtId="4" fontId="53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2" xfId="0" applyNumberFormat="1" applyFont="1" applyFill="1" applyBorder="1" applyAlignment="1" applyProtection="1">
      <alignment vertical="center" wrapText="1"/>
      <protection hidden="1"/>
    </xf>
    <xf numFmtId="0" fontId="12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4" fontId="52" fillId="3" borderId="14" xfId="0" applyNumberFormat="1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4" fontId="1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3" borderId="1" xfId="0" applyNumberFormat="1" applyFont="1" applyFill="1" applyBorder="1" applyAlignment="1" applyProtection="1">
      <alignment horizontal="left" vertical="center" wrapText="1"/>
      <protection hidden="1"/>
    </xf>
    <xf numFmtId="49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2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1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" xfId="0" applyNumberFormat="1" applyFont="1" applyFill="1" applyBorder="1" applyAlignment="1" applyProtection="1">
      <alignment vertical="center" wrapText="1"/>
      <protection hidden="1"/>
    </xf>
    <xf numFmtId="49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3" xfId="0" applyNumberFormat="1" applyFont="1" applyFill="1" applyBorder="1" applyAlignment="1" applyProtection="1">
      <alignment vertical="center" wrapText="1"/>
      <protection hidden="1"/>
    </xf>
    <xf numFmtId="49" fontId="6" fillId="3" borderId="1" xfId="0" applyNumberFormat="1" applyFont="1" applyFill="1" applyBorder="1" applyAlignment="1" applyProtection="1">
      <alignment vertical="center" wrapText="1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0" fontId="6" fillId="3" borderId="10" xfId="0" applyFont="1" applyFill="1" applyBorder="1" applyAlignment="1" applyProtection="1">
      <alignment horizontal="right" vertical="center" wrapText="1"/>
      <protection hidden="1"/>
    </xf>
    <xf numFmtId="0" fontId="6" fillId="3" borderId="11" xfId="0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right" vertical="center" wrapText="1"/>
      <protection hidden="1"/>
    </xf>
    <xf numFmtId="0" fontId="6" fillId="3" borderId="1" xfId="0" applyFont="1" applyFill="1" applyBorder="1" applyAlignment="1" applyProtection="1">
      <alignment horizontal="right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4" fontId="6" fillId="3" borderId="1" xfId="0" applyNumberFormat="1" applyFont="1" applyFill="1" applyBorder="1" applyAlignment="1" applyProtection="1">
      <alignment horizontal="center"/>
      <protection hidden="1"/>
    </xf>
    <xf numFmtId="4" fontId="56" fillId="3" borderId="0" xfId="0" applyNumberFormat="1" applyFont="1" applyFill="1" applyProtection="1">
      <protection hidden="1"/>
    </xf>
  </cellXfs>
  <cellStyles count="3">
    <cellStyle name="ex66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CCFF"/>
      <color rgb="FF0000FF"/>
      <color rgb="FFFFCCCC"/>
      <color rgb="FFFF99CC"/>
      <color rgb="FFFFFF99"/>
      <color rgb="FFFF99FF"/>
      <color rgb="FFCCFFFF"/>
      <color rgb="FF33CCCC"/>
      <color rgb="FFFFFFCC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282"/>
  <sheetViews>
    <sheetView zoomScale="70" zoomScaleNormal="70" workbookViewId="0">
      <pane xSplit="3" ySplit="5" topLeftCell="D235" activePane="bottomRight" state="frozen"/>
      <selection pane="topRight" activeCell="D1" sqref="D1"/>
      <selection pane="bottomLeft" activeCell="A7" sqref="A7"/>
      <selection pane="bottomRight" activeCell="B278" sqref="B278"/>
    </sheetView>
  </sheetViews>
  <sheetFormatPr defaultColWidth="17.28515625" defaultRowHeight="15.75" x14ac:dyDescent="0.25"/>
  <cols>
    <col min="1" max="1" width="5.5703125" style="35" customWidth="1"/>
    <col min="2" max="2" width="27.7109375" style="35" customWidth="1"/>
    <col min="3" max="3" width="11" style="35" customWidth="1"/>
    <col min="4" max="4" width="33.42578125" style="35" customWidth="1"/>
    <col min="5" max="5" width="19" style="35" customWidth="1"/>
    <col min="6" max="6" width="16.85546875" style="105" customWidth="1"/>
    <col min="7" max="7" width="16.85546875" style="78" customWidth="1"/>
    <col min="8" max="8" width="16.85546875" style="65" customWidth="1"/>
    <col min="9" max="10" width="16.85546875" style="35" customWidth="1"/>
    <col min="11" max="11" width="18.28515625" style="37" customWidth="1"/>
    <col min="12" max="15" width="16.85546875" style="35" customWidth="1"/>
    <col min="16" max="16" width="16.85546875" style="37" customWidth="1"/>
    <col min="17" max="20" width="16.85546875" style="35" customWidth="1"/>
    <col min="21" max="21" width="16.85546875" style="37" customWidth="1"/>
    <col min="22" max="27" width="16.85546875" style="35" customWidth="1"/>
    <col min="28" max="16384" width="17.28515625" style="35"/>
  </cols>
  <sheetData>
    <row r="1" spans="1:28" ht="17.25" customHeight="1" x14ac:dyDescent="0.25">
      <c r="A1" s="327" t="s">
        <v>33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8" ht="17.25" customHeight="1" x14ac:dyDescent="0.25">
      <c r="A2" s="167"/>
      <c r="B2" s="70"/>
      <c r="C2" s="70"/>
      <c r="D2" s="167"/>
      <c r="E2" s="70"/>
      <c r="F2" s="96"/>
      <c r="G2" s="79"/>
      <c r="H2" s="86"/>
      <c r="I2" s="172">
        <f>I7+I20+I33+I48+I62+I76+I93</f>
        <v>11162.53</v>
      </c>
      <c r="J2" s="70"/>
      <c r="K2" s="71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8" ht="15.75" customHeight="1" x14ac:dyDescent="0.25">
      <c r="A3" s="328" t="s">
        <v>30</v>
      </c>
      <c r="B3" s="308" t="s">
        <v>28</v>
      </c>
      <c r="C3" s="308" t="s">
        <v>26</v>
      </c>
      <c r="D3" s="9" t="s">
        <v>29</v>
      </c>
      <c r="E3" s="308" t="s">
        <v>27</v>
      </c>
      <c r="F3" s="329" t="s">
        <v>243</v>
      </c>
      <c r="G3" s="331" t="s">
        <v>244</v>
      </c>
      <c r="H3" s="333" t="s">
        <v>242</v>
      </c>
      <c r="I3" s="308" t="s">
        <v>185</v>
      </c>
      <c r="J3" s="308" t="s">
        <v>186</v>
      </c>
      <c r="K3" s="321" t="s">
        <v>197</v>
      </c>
      <c r="L3" s="308" t="s">
        <v>187</v>
      </c>
      <c r="M3" s="308" t="s">
        <v>188</v>
      </c>
      <c r="N3" s="308" t="s">
        <v>189</v>
      </c>
      <c r="O3" s="308" t="s">
        <v>192</v>
      </c>
      <c r="P3" s="321" t="s">
        <v>198</v>
      </c>
      <c r="Q3" s="308" t="s">
        <v>187</v>
      </c>
      <c r="R3" s="308" t="s">
        <v>188</v>
      </c>
      <c r="S3" s="308" t="s">
        <v>189</v>
      </c>
      <c r="T3" s="308" t="s">
        <v>192</v>
      </c>
      <c r="U3" s="321" t="s">
        <v>190</v>
      </c>
      <c r="V3" s="308" t="s">
        <v>187</v>
      </c>
      <c r="W3" s="308" t="s">
        <v>188</v>
      </c>
      <c r="X3" s="308" t="s">
        <v>189</v>
      </c>
      <c r="Y3" s="308" t="s">
        <v>192</v>
      </c>
      <c r="Z3" s="308" t="s">
        <v>238</v>
      </c>
      <c r="AA3" s="308" t="s">
        <v>305</v>
      </c>
      <c r="AB3" s="326" t="s">
        <v>203</v>
      </c>
    </row>
    <row r="4" spans="1:28" ht="67.5" customHeight="1" x14ac:dyDescent="0.25">
      <c r="A4" s="328"/>
      <c r="B4" s="310"/>
      <c r="C4" s="310"/>
      <c r="D4" s="34" t="s">
        <v>42</v>
      </c>
      <c r="E4" s="310"/>
      <c r="F4" s="330"/>
      <c r="G4" s="332"/>
      <c r="H4" s="334"/>
      <c r="I4" s="310"/>
      <c r="J4" s="310"/>
      <c r="K4" s="322"/>
      <c r="L4" s="310"/>
      <c r="M4" s="310"/>
      <c r="N4" s="310"/>
      <c r="O4" s="310"/>
      <c r="P4" s="322"/>
      <c r="Q4" s="310"/>
      <c r="R4" s="310"/>
      <c r="S4" s="310"/>
      <c r="T4" s="310"/>
      <c r="U4" s="322"/>
      <c r="V4" s="310"/>
      <c r="W4" s="310"/>
      <c r="X4" s="310"/>
      <c r="Y4" s="310"/>
      <c r="Z4" s="310"/>
      <c r="AA4" s="310"/>
      <c r="AB4" s="326"/>
    </row>
    <row r="5" spans="1:28" ht="15.75" customHeight="1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97" t="s">
        <v>239</v>
      </c>
      <c r="G5" s="80" t="s">
        <v>240</v>
      </c>
      <c r="H5" s="87" t="s">
        <v>241</v>
      </c>
      <c r="I5" s="34">
        <v>6</v>
      </c>
      <c r="J5" s="34">
        <v>7</v>
      </c>
      <c r="K5" s="38">
        <v>8</v>
      </c>
      <c r="L5" s="34">
        <v>9</v>
      </c>
      <c r="M5" s="34">
        <v>10</v>
      </c>
      <c r="N5" s="34">
        <v>11</v>
      </c>
      <c r="O5" s="34" t="s">
        <v>191</v>
      </c>
      <c r="P5" s="38" t="s">
        <v>199</v>
      </c>
      <c r="Q5" s="34" t="s">
        <v>200</v>
      </c>
      <c r="R5" s="34" t="s">
        <v>201</v>
      </c>
      <c r="S5" s="34" t="s">
        <v>191</v>
      </c>
      <c r="T5" s="34" t="s">
        <v>202</v>
      </c>
      <c r="U5" s="38">
        <v>12</v>
      </c>
      <c r="V5" s="34">
        <v>13</v>
      </c>
      <c r="W5" s="34">
        <v>14</v>
      </c>
      <c r="X5" s="34">
        <v>15</v>
      </c>
      <c r="Y5" s="34" t="s">
        <v>196</v>
      </c>
      <c r="Z5" s="34">
        <v>16</v>
      </c>
      <c r="AA5" s="34">
        <v>16</v>
      </c>
    </row>
    <row r="6" spans="1:28" s="10" customFormat="1" ht="15.75" hidden="1" customHeight="1" x14ac:dyDescent="0.25">
      <c r="A6" s="316" t="s">
        <v>19</v>
      </c>
      <c r="B6" s="317"/>
      <c r="C6" s="317"/>
      <c r="D6" s="24"/>
      <c r="E6" s="24"/>
      <c r="F6" s="106"/>
      <c r="G6" s="113"/>
      <c r="H6" s="88"/>
      <c r="I6" s="24"/>
      <c r="J6" s="169">
        <f>(J8+J21+J34+J49+J63+J77+J94+J118+J133)/9</f>
        <v>55003.124206268483</v>
      </c>
      <c r="K6" s="39"/>
      <c r="P6" s="39"/>
      <c r="U6" s="39"/>
    </row>
    <row r="7" spans="1:28" s="14" customFormat="1" ht="15.75" hidden="1" customHeight="1" x14ac:dyDescent="0.25">
      <c r="A7" s="11" t="s">
        <v>34</v>
      </c>
      <c r="B7" s="12" t="s">
        <v>0</v>
      </c>
      <c r="C7" s="12"/>
      <c r="D7" s="12"/>
      <c r="E7" s="13">
        <f>SUM(E8:E19)</f>
        <v>92516152.859999999</v>
      </c>
      <c r="F7" s="102">
        <f>SUM(F8:F19)</f>
        <v>191442.69</v>
      </c>
      <c r="G7" s="83">
        <f>SUM(G8:G19)</f>
        <v>5492928.4500000011</v>
      </c>
      <c r="H7" s="89">
        <f>SUM(H8:H19)</f>
        <v>86831781.719999984</v>
      </c>
      <c r="I7" s="13">
        <v>1479.97</v>
      </c>
      <c r="J7" s="13">
        <f>E7/I7</f>
        <v>62512.181233403375</v>
      </c>
      <c r="K7" s="40">
        <f>SUM(K8:K19)</f>
        <v>85602871.359999985</v>
      </c>
      <c r="L7" s="13">
        <f t="shared" ref="L7:AA7" si="0">SUM(L8:L19)</f>
        <v>12462294.029999999</v>
      </c>
      <c r="M7" s="13">
        <f t="shared" si="0"/>
        <v>30127511.690000001</v>
      </c>
      <c r="N7" s="13">
        <f t="shared" si="0"/>
        <v>3613851.66</v>
      </c>
      <c r="O7" s="13">
        <f t="shared" si="0"/>
        <v>39399213.979999997</v>
      </c>
      <c r="P7" s="40">
        <f t="shared" si="0"/>
        <v>86831781.719999984</v>
      </c>
      <c r="Q7" s="13">
        <f t="shared" si="0"/>
        <v>12462294.030000001</v>
      </c>
      <c r="R7" s="13">
        <f t="shared" si="0"/>
        <v>30127511.689999998</v>
      </c>
      <c r="S7" s="13">
        <f t="shared" si="0"/>
        <v>3613851.66</v>
      </c>
      <c r="T7" s="13">
        <f t="shared" si="0"/>
        <v>40628124.339999996</v>
      </c>
      <c r="U7" s="40">
        <f t="shared" si="0"/>
        <v>15159266.65</v>
      </c>
      <c r="V7" s="13">
        <f t="shared" si="0"/>
        <v>4085807.2700000005</v>
      </c>
      <c r="W7" s="13">
        <f t="shared" si="0"/>
        <v>9878957.8499999996</v>
      </c>
      <c r="X7" s="13">
        <f t="shared" si="0"/>
        <v>1184687.18</v>
      </c>
      <c r="Y7" s="13">
        <f t="shared" si="0"/>
        <v>9814.35</v>
      </c>
      <c r="Z7" s="40">
        <f t="shared" si="0"/>
        <v>1228910.3599999999</v>
      </c>
      <c r="AA7" s="40">
        <f t="shared" si="0"/>
        <v>43047474.469999999</v>
      </c>
    </row>
    <row r="8" spans="1:28" ht="69.75" hidden="1" customHeight="1" x14ac:dyDescent="0.25">
      <c r="A8" s="168" t="s">
        <v>43</v>
      </c>
      <c r="B8" s="1" t="s">
        <v>32</v>
      </c>
      <c r="C8" s="3">
        <v>310</v>
      </c>
      <c r="D8" s="25" t="s">
        <v>259</v>
      </c>
      <c r="E8" s="2">
        <v>87081489.019999996</v>
      </c>
      <c r="F8" s="98">
        <v>0</v>
      </c>
      <c r="G8" s="4">
        <v>2170602.59</v>
      </c>
      <c r="H8" s="7">
        <f t="shared" ref="H8:H16" si="1">E8-F8-G8</f>
        <v>84910886.429999992</v>
      </c>
      <c r="I8" s="36">
        <v>1479.97</v>
      </c>
      <c r="J8" s="36">
        <f>E8/I8</f>
        <v>58840.036635877754</v>
      </c>
      <c r="K8" s="41">
        <f>SUM(L8:O8)</f>
        <v>84910886.429999992</v>
      </c>
      <c r="L8" s="36">
        <v>12462294.029999999</v>
      </c>
      <c r="M8" s="36">
        <v>30127511.690000001</v>
      </c>
      <c r="N8" s="129">
        <v>3613851.66</v>
      </c>
      <c r="O8" s="36">
        <f>2832702+35874527.05</f>
        <v>38707229.049999997</v>
      </c>
      <c r="P8" s="41">
        <f>SUM(Q8:T8)</f>
        <v>84910886.429999992</v>
      </c>
      <c r="Q8" s="36">
        <f>13047705.55-585411.52</f>
        <v>12462294.030000001</v>
      </c>
      <c r="R8" s="36">
        <f>31542961.63-1415449.94</f>
        <v>30127511.689999998</v>
      </c>
      <c r="S8" s="36">
        <f>3783592.79-169741.13</f>
        <v>3613851.66</v>
      </c>
      <c r="T8" s="36">
        <f>2832702+35874527.05</f>
        <v>38707229.049999997</v>
      </c>
      <c r="U8" s="46">
        <f>SUM(V8:Y8)</f>
        <v>15149452.300000001</v>
      </c>
      <c r="V8" s="36">
        <v>4085807.2700000005</v>
      </c>
      <c r="W8" s="36">
        <v>9878957.8499999996</v>
      </c>
      <c r="X8" s="36">
        <v>1184687.18</v>
      </c>
      <c r="Y8" s="36">
        <v>0</v>
      </c>
      <c r="Z8" s="36">
        <f>S8-N8</f>
        <v>0</v>
      </c>
      <c r="AA8" s="36">
        <f>Z8+N8-X8+O8</f>
        <v>41136393.530000001</v>
      </c>
      <c r="AB8" s="50">
        <f>S8-N8+N8-X8+O8-Y8</f>
        <v>41136393.530000001</v>
      </c>
    </row>
    <row r="9" spans="1:28" ht="32.450000000000003" hidden="1" customHeight="1" x14ac:dyDescent="0.25">
      <c r="A9" s="168" t="s">
        <v>44</v>
      </c>
      <c r="B9" s="3" t="s">
        <v>10</v>
      </c>
      <c r="C9" s="3">
        <v>226</v>
      </c>
      <c r="D9" s="25" t="s">
        <v>177</v>
      </c>
      <c r="E9" s="2">
        <v>3330</v>
      </c>
      <c r="F9" s="98">
        <v>3330</v>
      </c>
      <c r="G9" s="4"/>
      <c r="H9" s="7">
        <f t="shared" si="1"/>
        <v>0</v>
      </c>
      <c r="I9" s="2"/>
      <c r="J9" s="2"/>
      <c r="K9" s="41">
        <f t="shared" ref="K9:K18" si="2">SUM(L9:O9)</f>
        <v>0</v>
      </c>
      <c r="L9" s="2"/>
      <c r="M9" s="2"/>
      <c r="N9" s="2"/>
      <c r="O9" s="2"/>
      <c r="P9" s="41">
        <f t="shared" ref="P9:P19" si="3">SUM(Q9:T9)</f>
        <v>0</v>
      </c>
      <c r="Q9" s="2"/>
      <c r="R9" s="2"/>
      <c r="S9" s="2"/>
      <c r="T9" s="2"/>
      <c r="U9" s="46">
        <f t="shared" ref="U9:U19" si="4">SUM(V9:Y9)</f>
        <v>0</v>
      </c>
      <c r="V9" s="2"/>
      <c r="W9" s="2"/>
      <c r="X9" s="2"/>
      <c r="Y9" s="2"/>
      <c r="Z9" s="2"/>
      <c r="AA9" s="2"/>
    </row>
    <row r="10" spans="1:28" ht="49.9" hidden="1" customHeight="1" x14ac:dyDescent="0.25">
      <c r="A10" s="168" t="s">
        <v>45</v>
      </c>
      <c r="B10" s="3" t="s">
        <v>1</v>
      </c>
      <c r="C10" s="3">
        <v>226</v>
      </c>
      <c r="D10" s="28" t="s">
        <v>165</v>
      </c>
      <c r="E10" s="2">
        <v>188112.69</v>
      </c>
      <c r="F10" s="98">
        <v>188112.69</v>
      </c>
      <c r="G10" s="4"/>
      <c r="H10" s="7">
        <f t="shared" si="1"/>
        <v>0</v>
      </c>
      <c r="I10" s="2"/>
      <c r="J10" s="2"/>
      <c r="K10" s="41">
        <f t="shared" si="2"/>
        <v>0</v>
      </c>
      <c r="L10" s="2"/>
      <c r="M10" s="2"/>
      <c r="N10" s="2"/>
      <c r="O10" s="2"/>
      <c r="P10" s="41">
        <f t="shared" si="3"/>
        <v>0</v>
      </c>
      <c r="Q10" s="2"/>
      <c r="R10" s="2"/>
      <c r="S10" s="2"/>
      <c r="T10" s="2"/>
      <c r="U10" s="46">
        <f t="shared" si="4"/>
        <v>0</v>
      </c>
      <c r="V10" s="2"/>
      <c r="W10" s="2"/>
      <c r="X10" s="2"/>
      <c r="Y10" s="2"/>
      <c r="Z10" s="2"/>
      <c r="AA10" s="2"/>
    </row>
    <row r="11" spans="1:28" s="8" customFormat="1" ht="24.6" hidden="1" customHeight="1" x14ac:dyDescent="0.25">
      <c r="A11" s="5" t="s">
        <v>46</v>
      </c>
      <c r="B11" s="1" t="s">
        <v>1</v>
      </c>
      <c r="C11" s="1">
        <v>226</v>
      </c>
      <c r="D11" s="25" t="s">
        <v>180</v>
      </c>
      <c r="E11" s="2">
        <v>19644.400000000001</v>
      </c>
      <c r="F11" s="98"/>
      <c r="G11" s="4">
        <v>19644.400000000001</v>
      </c>
      <c r="H11" s="7">
        <f t="shared" si="1"/>
        <v>0</v>
      </c>
      <c r="I11" s="2"/>
      <c r="J11" s="2"/>
      <c r="K11" s="41">
        <f t="shared" si="2"/>
        <v>0</v>
      </c>
      <c r="L11" s="2"/>
      <c r="M11" s="2"/>
      <c r="N11" s="2"/>
      <c r="O11" s="2"/>
      <c r="P11" s="41">
        <f t="shared" si="3"/>
        <v>0</v>
      </c>
      <c r="Q11" s="2"/>
      <c r="R11" s="2"/>
      <c r="S11" s="2"/>
      <c r="T11" s="2"/>
      <c r="U11" s="77">
        <f t="shared" si="4"/>
        <v>0</v>
      </c>
      <c r="V11" s="2"/>
      <c r="W11" s="2"/>
      <c r="X11" s="2"/>
      <c r="Y11" s="2"/>
      <c r="Z11" s="2"/>
      <c r="AA11" s="2"/>
    </row>
    <row r="12" spans="1:28" s="8" customFormat="1" ht="46.9" hidden="1" customHeight="1" x14ac:dyDescent="0.25">
      <c r="A12" s="5" t="s">
        <v>47</v>
      </c>
      <c r="B12" s="1" t="s">
        <v>11</v>
      </c>
      <c r="C12" s="1">
        <v>226</v>
      </c>
      <c r="D12" s="25" t="s">
        <v>133</v>
      </c>
      <c r="E12" s="2">
        <v>933921.26</v>
      </c>
      <c r="F12" s="98"/>
      <c r="G12" s="4">
        <v>933921.26</v>
      </c>
      <c r="H12" s="7">
        <f t="shared" si="1"/>
        <v>0</v>
      </c>
      <c r="I12" s="2"/>
      <c r="J12" s="2"/>
      <c r="K12" s="41">
        <f t="shared" si="2"/>
        <v>0</v>
      </c>
      <c r="L12" s="2"/>
      <c r="M12" s="2"/>
      <c r="N12" s="2"/>
      <c r="O12" s="2"/>
      <c r="P12" s="41">
        <f t="shared" si="3"/>
        <v>0</v>
      </c>
      <c r="Q12" s="2"/>
      <c r="R12" s="2"/>
      <c r="S12" s="2"/>
      <c r="T12" s="2"/>
      <c r="U12" s="77">
        <f t="shared" si="4"/>
        <v>0</v>
      </c>
      <c r="V12" s="2"/>
      <c r="W12" s="2"/>
      <c r="X12" s="2"/>
      <c r="Y12" s="2"/>
      <c r="Z12" s="2"/>
      <c r="AA12" s="2"/>
    </row>
    <row r="13" spans="1:28" s="65" customFormat="1" ht="24" hidden="1" x14ac:dyDescent="0.25">
      <c r="A13" s="60" t="s">
        <v>48</v>
      </c>
      <c r="B13" s="61" t="s">
        <v>20</v>
      </c>
      <c r="C13" s="61">
        <v>226</v>
      </c>
      <c r="D13" s="66" t="s">
        <v>131</v>
      </c>
      <c r="E13" s="7">
        <v>147595.74</v>
      </c>
      <c r="F13" s="98"/>
      <c r="G13" s="4">
        <v>3678.99</v>
      </c>
      <c r="H13" s="7">
        <f t="shared" si="1"/>
        <v>143916.75</v>
      </c>
      <c r="I13" s="7"/>
      <c r="J13" s="7"/>
      <c r="K13" s="63">
        <f t="shared" si="2"/>
        <v>143916.75</v>
      </c>
      <c r="L13" s="7"/>
      <c r="M13" s="7"/>
      <c r="N13" s="7"/>
      <c r="O13" s="7">
        <v>143916.75</v>
      </c>
      <c r="P13" s="63">
        <f t="shared" si="3"/>
        <v>143916.75</v>
      </c>
      <c r="Q13" s="7"/>
      <c r="R13" s="7"/>
      <c r="S13" s="7"/>
      <c r="T13" s="7">
        <v>143916.75</v>
      </c>
      <c r="U13" s="64">
        <f t="shared" si="4"/>
        <v>9814.35</v>
      </c>
      <c r="V13" s="7"/>
      <c r="W13" s="7"/>
      <c r="X13" s="7"/>
      <c r="Y13" s="7">
        <v>9814.35</v>
      </c>
      <c r="Z13" s="7">
        <f t="shared" ref="Z13:Z19" si="5">T13-O13</f>
        <v>0</v>
      </c>
      <c r="AA13" s="7">
        <f>O13-Y13</f>
        <v>134102.39999999999</v>
      </c>
    </row>
    <row r="14" spans="1:28" ht="24.6" hidden="1" customHeight="1" x14ac:dyDescent="0.25">
      <c r="A14" s="168" t="s">
        <v>49</v>
      </c>
      <c r="B14" s="3" t="s">
        <v>12</v>
      </c>
      <c r="C14" s="3">
        <v>226</v>
      </c>
      <c r="D14" s="25" t="s">
        <v>136</v>
      </c>
      <c r="E14" s="2">
        <v>758548.97</v>
      </c>
      <c r="F14" s="98"/>
      <c r="G14" s="4">
        <v>227564.69</v>
      </c>
      <c r="H14" s="7">
        <f t="shared" si="1"/>
        <v>530984.28</v>
      </c>
      <c r="I14" s="2"/>
      <c r="J14" s="2"/>
      <c r="K14" s="41">
        <f t="shared" si="2"/>
        <v>0</v>
      </c>
      <c r="L14" s="2"/>
      <c r="M14" s="2"/>
      <c r="N14" s="2"/>
      <c r="O14" s="2"/>
      <c r="P14" s="41">
        <f t="shared" si="3"/>
        <v>530984.28</v>
      </c>
      <c r="Q14" s="2"/>
      <c r="R14" s="2"/>
      <c r="S14" s="2"/>
      <c r="T14" s="2">
        <v>530984.28</v>
      </c>
      <c r="U14" s="46">
        <f t="shared" si="4"/>
        <v>0</v>
      </c>
      <c r="V14" s="2"/>
      <c r="W14" s="2"/>
      <c r="X14" s="2"/>
      <c r="Y14" s="2"/>
      <c r="Z14" s="7">
        <f t="shared" si="5"/>
        <v>530984.28</v>
      </c>
      <c r="AA14" s="7">
        <f>T14-Y14</f>
        <v>530984.28</v>
      </c>
    </row>
    <row r="15" spans="1:28" ht="27" hidden="1" customHeight="1" x14ac:dyDescent="0.25">
      <c r="A15" s="168" t="s">
        <v>50</v>
      </c>
      <c r="B15" s="3" t="s">
        <v>13</v>
      </c>
      <c r="C15" s="3">
        <v>226</v>
      </c>
      <c r="D15" s="26" t="s">
        <v>142</v>
      </c>
      <c r="E15" s="2">
        <v>937948.35</v>
      </c>
      <c r="F15" s="98"/>
      <c r="G15" s="4">
        <v>609666.43000000005</v>
      </c>
      <c r="H15" s="7">
        <f t="shared" si="1"/>
        <v>328281.91999999993</v>
      </c>
      <c r="I15" s="2"/>
      <c r="J15" s="2"/>
      <c r="K15" s="41">
        <f t="shared" si="2"/>
        <v>0</v>
      </c>
      <c r="L15" s="2"/>
      <c r="M15" s="2"/>
      <c r="N15" s="2"/>
      <c r="O15" s="2"/>
      <c r="P15" s="41">
        <f t="shared" si="3"/>
        <v>328281.92</v>
      </c>
      <c r="Q15" s="2"/>
      <c r="R15" s="2"/>
      <c r="S15" s="2"/>
      <c r="T15" s="2">
        <v>328281.92</v>
      </c>
      <c r="U15" s="46">
        <f t="shared" si="4"/>
        <v>0</v>
      </c>
      <c r="V15" s="2"/>
      <c r="W15" s="2"/>
      <c r="X15" s="2"/>
      <c r="Y15" s="2"/>
      <c r="Z15" s="7">
        <f t="shared" si="5"/>
        <v>328281.92</v>
      </c>
      <c r="AA15" s="7">
        <f>T15-Y15</f>
        <v>328281.92</v>
      </c>
    </row>
    <row r="16" spans="1:28" s="8" customFormat="1" ht="25.9" hidden="1" customHeight="1" x14ac:dyDescent="0.25">
      <c r="A16" s="5" t="s">
        <v>51</v>
      </c>
      <c r="B16" s="1" t="s">
        <v>15</v>
      </c>
      <c r="C16" s="1">
        <v>226</v>
      </c>
      <c r="D16" s="28" t="s">
        <v>148</v>
      </c>
      <c r="E16" s="2">
        <v>1052586.18</v>
      </c>
      <c r="F16" s="98"/>
      <c r="G16" s="4">
        <v>684181.02</v>
      </c>
      <c r="H16" s="7">
        <f t="shared" si="1"/>
        <v>368405.15999999992</v>
      </c>
      <c r="I16" s="2"/>
      <c r="J16" s="2"/>
      <c r="K16" s="41">
        <f t="shared" si="2"/>
        <v>0</v>
      </c>
      <c r="L16" s="2"/>
      <c r="M16" s="2"/>
      <c r="N16" s="2"/>
      <c r="O16" s="2"/>
      <c r="P16" s="41">
        <f t="shared" si="3"/>
        <v>368405.16</v>
      </c>
      <c r="Q16" s="2"/>
      <c r="R16" s="2"/>
      <c r="S16" s="2"/>
      <c r="T16" s="2">
        <v>368405.16</v>
      </c>
      <c r="U16" s="77">
        <f t="shared" si="4"/>
        <v>0</v>
      </c>
      <c r="V16" s="2"/>
      <c r="W16" s="2"/>
      <c r="X16" s="2"/>
      <c r="Y16" s="2"/>
      <c r="Z16" s="7">
        <f t="shared" si="5"/>
        <v>368405.16</v>
      </c>
      <c r="AA16" s="7">
        <f>T16-Y16</f>
        <v>368405.16</v>
      </c>
    </row>
    <row r="17" spans="1:28" s="65" customFormat="1" ht="38.25" hidden="1" customHeight="1" x14ac:dyDescent="0.25">
      <c r="A17" s="60" t="s">
        <v>35</v>
      </c>
      <c r="B17" s="61" t="s">
        <v>14</v>
      </c>
      <c r="C17" s="61">
        <v>226</v>
      </c>
      <c r="D17" s="66" t="s">
        <v>228</v>
      </c>
      <c r="E17" s="7">
        <v>1297952.42</v>
      </c>
      <c r="F17" s="98"/>
      <c r="G17" s="4">
        <v>843669.07</v>
      </c>
      <c r="H17" s="7">
        <f>E17-F17-G17</f>
        <v>454283.35</v>
      </c>
      <c r="I17" s="7"/>
      <c r="J17" s="7"/>
      <c r="K17" s="63">
        <f t="shared" si="2"/>
        <v>454283.35</v>
      </c>
      <c r="L17" s="7"/>
      <c r="M17" s="7"/>
      <c r="N17" s="7"/>
      <c r="O17" s="7">
        <v>454283.35</v>
      </c>
      <c r="P17" s="63">
        <f t="shared" si="3"/>
        <v>454283.35</v>
      </c>
      <c r="Q17" s="7"/>
      <c r="R17" s="7"/>
      <c r="S17" s="7"/>
      <c r="T17" s="7">
        <v>454283.35</v>
      </c>
      <c r="U17" s="64">
        <f t="shared" si="4"/>
        <v>0</v>
      </c>
      <c r="V17" s="7"/>
      <c r="W17" s="7"/>
      <c r="X17" s="7"/>
      <c r="Y17" s="7">
        <v>0</v>
      </c>
      <c r="Z17" s="7">
        <f t="shared" si="5"/>
        <v>0</v>
      </c>
      <c r="AA17" s="7">
        <f>O17</f>
        <v>454283.35</v>
      </c>
      <c r="AB17" s="67"/>
    </row>
    <row r="18" spans="1:28" s="65" customFormat="1" ht="60" hidden="1" customHeight="1" x14ac:dyDescent="0.25">
      <c r="A18" s="60" t="s">
        <v>118</v>
      </c>
      <c r="B18" s="61" t="s">
        <v>208</v>
      </c>
      <c r="C18" s="61">
        <v>226</v>
      </c>
      <c r="D18" s="66" t="s">
        <v>207</v>
      </c>
      <c r="E18" s="7">
        <v>93784.83</v>
      </c>
      <c r="F18" s="98"/>
      <c r="G18" s="4"/>
      <c r="H18" s="7">
        <f>E18-F18-G18</f>
        <v>93784.83</v>
      </c>
      <c r="I18" s="7"/>
      <c r="J18" s="7"/>
      <c r="K18" s="63">
        <f t="shared" si="2"/>
        <v>93784.83</v>
      </c>
      <c r="L18" s="7"/>
      <c r="M18" s="7"/>
      <c r="N18" s="7"/>
      <c r="O18" s="7">
        <v>93784.83</v>
      </c>
      <c r="P18" s="63">
        <f t="shared" si="3"/>
        <v>93784.83</v>
      </c>
      <c r="Q18" s="7"/>
      <c r="R18" s="7"/>
      <c r="S18" s="7"/>
      <c r="T18" s="7">
        <v>93784.83</v>
      </c>
      <c r="U18" s="64">
        <f t="shared" si="4"/>
        <v>0</v>
      </c>
      <c r="V18" s="7"/>
      <c r="W18" s="7"/>
      <c r="X18" s="7"/>
      <c r="Y18" s="7">
        <v>0</v>
      </c>
      <c r="Z18" s="7">
        <f t="shared" si="5"/>
        <v>0</v>
      </c>
      <c r="AA18" s="7">
        <f>O18</f>
        <v>93784.83</v>
      </c>
    </row>
    <row r="19" spans="1:28" s="65" customFormat="1" ht="48.75" hidden="1" customHeight="1" x14ac:dyDescent="0.25">
      <c r="A19" s="60" t="s">
        <v>119</v>
      </c>
      <c r="B19" s="68" t="s">
        <v>248</v>
      </c>
      <c r="C19" s="68">
        <v>226</v>
      </c>
      <c r="D19" s="121" t="s">
        <v>308</v>
      </c>
      <c r="E19" s="7">
        <v>1239</v>
      </c>
      <c r="F19" s="98"/>
      <c r="G19" s="4"/>
      <c r="H19" s="7">
        <f>E19-F19-G19</f>
        <v>1239</v>
      </c>
      <c r="I19" s="7"/>
      <c r="J19" s="7"/>
      <c r="K19" s="63">
        <f>SUM(L19:O19)</f>
        <v>0</v>
      </c>
      <c r="L19" s="7"/>
      <c r="M19" s="7"/>
      <c r="N19" s="7"/>
      <c r="O19" s="7"/>
      <c r="P19" s="63">
        <f t="shared" si="3"/>
        <v>1239</v>
      </c>
      <c r="Q19" s="7"/>
      <c r="R19" s="7"/>
      <c r="S19" s="7"/>
      <c r="T19" s="7">
        <v>1239</v>
      </c>
      <c r="U19" s="64">
        <f t="shared" si="4"/>
        <v>0</v>
      </c>
      <c r="V19" s="7"/>
      <c r="W19" s="7"/>
      <c r="X19" s="7"/>
      <c r="Y19" s="7">
        <v>0</v>
      </c>
      <c r="Z19" s="7">
        <f t="shared" si="5"/>
        <v>1239</v>
      </c>
      <c r="AA19" s="7">
        <f>T19-O19</f>
        <v>1239</v>
      </c>
    </row>
    <row r="20" spans="1:28" s="14" customFormat="1" ht="15.75" hidden="1" customHeight="1" x14ac:dyDescent="0.25">
      <c r="A20" s="11" t="s">
        <v>31</v>
      </c>
      <c r="B20" s="15" t="s">
        <v>2</v>
      </c>
      <c r="C20" s="15"/>
      <c r="D20" s="15"/>
      <c r="E20" s="13">
        <f>SUM(E21:E32)</f>
        <v>87295193.340000018</v>
      </c>
      <c r="F20" s="102">
        <f>SUM(F21:F32)</f>
        <v>191442.69</v>
      </c>
      <c r="G20" s="83">
        <f>SUM(G21:G32)</f>
        <v>16315995.340000002</v>
      </c>
      <c r="H20" s="89">
        <f>SUM(H21:H32)</f>
        <v>70787755.310000002</v>
      </c>
      <c r="I20" s="13">
        <v>1475.78</v>
      </c>
      <c r="J20" s="13">
        <f>E20/I20</f>
        <v>59151.901597799144</v>
      </c>
      <c r="K20" s="40">
        <f>SUM(K21:K32)</f>
        <v>69321588.639999986</v>
      </c>
      <c r="L20" s="13">
        <f t="shared" ref="L20:AA20" si="6">SUM(L21:L32)</f>
        <v>8969746.5899999999</v>
      </c>
      <c r="M20" s="13">
        <f t="shared" si="6"/>
        <v>21683187.449999999</v>
      </c>
      <c r="N20" s="13">
        <f t="shared" si="6"/>
        <v>2425421.56</v>
      </c>
      <c r="O20" s="40">
        <f t="shared" si="6"/>
        <v>36243233.039999999</v>
      </c>
      <c r="P20" s="40">
        <f t="shared" si="6"/>
        <v>70787755.310000002</v>
      </c>
      <c r="Q20" s="13">
        <f t="shared" si="6"/>
        <v>8969746.5899999999</v>
      </c>
      <c r="R20" s="13">
        <f t="shared" si="6"/>
        <v>21683187.449999999</v>
      </c>
      <c r="S20" s="13">
        <f t="shared" si="6"/>
        <v>2601164.17</v>
      </c>
      <c r="T20" s="13">
        <f t="shared" si="6"/>
        <v>37533657.099999994</v>
      </c>
      <c r="U20" s="40">
        <f t="shared" si="6"/>
        <v>25177868.469999999</v>
      </c>
      <c r="V20" s="13">
        <f t="shared" si="6"/>
        <v>6783583.1399999997</v>
      </c>
      <c r="W20" s="13">
        <f t="shared" si="6"/>
        <v>16401833.779999999</v>
      </c>
      <c r="X20" s="13">
        <f t="shared" si="6"/>
        <v>1966912.13</v>
      </c>
      <c r="Y20" s="13">
        <f t="shared" si="6"/>
        <v>25539.42</v>
      </c>
      <c r="Z20" s="40">
        <f t="shared" si="6"/>
        <v>1466166.67</v>
      </c>
      <c r="AA20" s="40">
        <f t="shared" si="6"/>
        <v>38142369.719999999</v>
      </c>
    </row>
    <row r="21" spans="1:28" ht="68.25" hidden="1" customHeight="1" x14ac:dyDescent="0.25">
      <c r="A21" s="168" t="s">
        <v>52</v>
      </c>
      <c r="B21" s="1" t="s">
        <v>32</v>
      </c>
      <c r="C21" s="3">
        <v>310</v>
      </c>
      <c r="D21" s="25" t="s">
        <v>260</v>
      </c>
      <c r="E21" s="2">
        <v>81854757.370000005</v>
      </c>
      <c r="F21" s="98">
        <v>0</v>
      </c>
      <c r="G21" s="4">
        <v>12992261.789999999</v>
      </c>
      <c r="H21" s="7">
        <f t="shared" ref="H21:H26" si="7">E21-F21-G21</f>
        <v>68862495.580000013</v>
      </c>
      <c r="I21" s="36">
        <v>1475.78</v>
      </c>
      <c r="J21" s="36">
        <f>E21/I21</f>
        <v>55465.419893209022</v>
      </c>
      <c r="K21" s="41">
        <f>SUM(L21:O21)</f>
        <v>68686752.969999999</v>
      </c>
      <c r="L21" s="36">
        <v>8969746.5899999999</v>
      </c>
      <c r="M21" s="36">
        <v>21683187.449999999</v>
      </c>
      <c r="N21" s="129">
        <v>2425421.56</v>
      </c>
      <c r="O21" s="36">
        <f>4815628+30792769.37</f>
        <v>35608397.370000005</v>
      </c>
      <c r="P21" s="41">
        <f>SUM(Q21:T21)</f>
        <v>68862495.580000013</v>
      </c>
      <c r="Q21" s="36">
        <f>12473759.59-3504013</f>
        <v>8969746.5899999999</v>
      </c>
      <c r="R21" s="36">
        <f>30155441.36-8472253.91</f>
        <v>21683187.449999999</v>
      </c>
      <c r="S21" s="36">
        <f>3617159.05-1015994.88</f>
        <v>2601164.17</v>
      </c>
      <c r="T21" s="36">
        <f>4815628+30792769.37</f>
        <v>35608397.370000005</v>
      </c>
      <c r="U21" s="46">
        <f>SUM(V21:Y21)</f>
        <v>25152329.049999997</v>
      </c>
      <c r="V21" s="36">
        <v>6783583.1399999997</v>
      </c>
      <c r="W21" s="36">
        <v>16401833.779999999</v>
      </c>
      <c r="X21" s="36">
        <v>1966912.13</v>
      </c>
      <c r="Y21" s="36">
        <v>0</v>
      </c>
      <c r="Z21" s="36">
        <f>S21-N21</f>
        <v>175742.60999999987</v>
      </c>
      <c r="AA21" s="36">
        <f>Z21+N21-X21+O21</f>
        <v>36242649.410000004</v>
      </c>
      <c r="AB21" s="50">
        <f>S21-N21+N21-X21+O21-Y21</f>
        <v>36242649.410000004</v>
      </c>
    </row>
    <row r="22" spans="1:28" ht="32.450000000000003" hidden="1" customHeight="1" x14ac:dyDescent="0.25">
      <c r="A22" s="168" t="s">
        <v>53</v>
      </c>
      <c r="B22" s="3" t="s">
        <v>10</v>
      </c>
      <c r="C22" s="3">
        <v>226</v>
      </c>
      <c r="D22" s="25" t="s">
        <v>177</v>
      </c>
      <c r="E22" s="2">
        <v>3330</v>
      </c>
      <c r="F22" s="98">
        <v>3330</v>
      </c>
      <c r="G22" s="4"/>
      <c r="H22" s="7">
        <f t="shared" si="7"/>
        <v>0</v>
      </c>
      <c r="I22" s="2"/>
      <c r="J22" s="2"/>
      <c r="K22" s="41">
        <f t="shared" ref="K22:K31" si="8">SUM(L22:O22)</f>
        <v>0</v>
      </c>
      <c r="L22" s="2"/>
      <c r="M22" s="2"/>
      <c r="N22" s="2"/>
      <c r="O22" s="2"/>
      <c r="P22" s="41">
        <f t="shared" ref="P22:P32" si="9">SUM(Q22:T22)</f>
        <v>0</v>
      </c>
      <c r="Q22" s="2"/>
      <c r="R22" s="2"/>
      <c r="S22" s="2"/>
      <c r="T22" s="2"/>
      <c r="U22" s="46">
        <f t="shared" ref="U22:U32" si="10">SUM(V22:Y22)</f>
        <v>0</v>
      </c>
      <c r="V22" s="2"/>
      <c r="W22" s="2"/>
      <c r="X22" s="2"/>
      <c r="Y22" s="2"/>
      <c r="Z22" s="2"/>
      <c r="AA22" s="2"/>
    </row>
    <row r="23" spans="1:28" ht="50.45" hidden="1" customHeight="1" x14ac:dyDescent="0.25">
      <c r="A23" s="168" t="s">
        <v>54</v>
      </c>
      <c r="B23" s="3" t="s">
        <v>1</v>
      </c>
      <c r="C23" s="3">
        <v>226</v>
      </c>
      <c r="D23" s="28" t="s">
        <v>165</v>
      </c>
      <c r="E23" s="2">
        <v>188112.69</v>
      </c>
      <c r="F23" s="98">
        <v>188112.69</v>
      </c>
      <c r="G23" s="4"/>
      <c r="H23" s="7">
        <f t="shared" si="7"/>
        <v>0</v>
      </c>
      <c r="I23" s="2"/>
      <c r="J23" s="2"/>
      <c r="K23" s="41">
        <f t="shared" si="8"/>
        <v>0</v>
      </c>
      <c r="L23" s="2"/>
      <c r="M23" s="2"/>
      <c r="N23" s="2"/>
      <c r="O23" s="2"/>
      <c r="P23" s="41">
        <f t="shared" si="9"/>
        <v>0</v>
      </c>
      <c r="Q23" s="2"/>
      <c r="R23" s="2"/>
      <c r="S23" s="2"/>
      <c r="T23" s="2"/>
      <c r="U23" s="46">
        <f t="shared" si="10"/>
        <v>0</v>
      </c>
      <c r="V23" s="2"/>
      <c r="W23" s="2"/>
      <c r="X23" s="2"/>
      <c r="Y23" s="2"/>
      <c r="Z23" s="2"/>
      <c r="AA23" s="2"/>
    </row>
    <row r="24" spans="1:28" s="8" customFormat="1" ht="30" hidden="1" customHeight="1" x14ac:dyDescent="0.25">
      <c r="A24" s="5" t="s">
        <v>55</v>
      </c>
      <c r="B24" s="1" t="s">
        <v>1</v>
      </c>
      <c r="C24" s="1">
        <v>226</v>
      </c>
      <c r="D24" s="25" t="s">
        <v>180</v>
      </c>
      <c r="E24" s="2">
        <v>19644.400000000001</v>
      </c>
      <c r="F24" s="98"/>
      <c r="G24" s="4">
        <v>19644.400000000001</v>
      </c>
      <c r="H24" s="7">
        <f t="shared" si="7"/>
        <v>0</v>
      </c>
      <c r="I24" s="2"/>
      <c r="J24" s="2"/>
      <c r="K24" s="41">
        <f t="shared" si="8"/>
        <v>0</v>
      </c>
      <c r="L24" s="2"/>
      <c r="M24" s="2"/>
      <c r="N24" s="2"/>
      <c r="O24" s="2"/>
      <c r="P24" s="41">
        <f t="shared" si="9"/>
        <v>0</v>
      </c>
      <c r="Q24" s="2"/>
      <c r="R24" s="2"/>
      <c r="S24" s="2"/>
      <c r="T24" s="2"/>
      <c r="U24" s="77">
        <f t="shared" si="10"/>
        <v>0</v>
      </c>
      <c r="V24" s="2"/>
      <c r="W24" s="2"/>
      <c r="X24" s="2"/>
      <c r="Y24" s="2"/>
      <c r="Z24" s="2"/>
      <c r="AA24" s="2"/>
    </row>
    <row r="25" spans="1:28" s="8" customFormat="1" ht="52.15" hidden="1" customHeight="1" x14ac:dyDescent="0.25">
      <c r="A25" s="5" t="s">
        <v>56</v>
      </c>
      <c r="B25" s="1" t="s">
        <v>11</v>
      </c>
      <c r="C25" s="1">
        <v>226</v>
      </c>
      <c r="D25" s="25" t="s">
        <v>133</v>
      </c>
      <c r="E25" s="2">
        <v>933921.26</v>
      </c>
      <c r="F25" s="98"/>
      <c r="G25" s="4">
        <v>933921.26</v>
      </c>
      <c r="H25" s="7">
        <f t="shared" si="7"/>
        <v>0</v>
      </c>
      <c r="I25" s="2"/>
      <c r="J25" s="2"/>
      <c r="K25" s="41">
        <f t="shared" si="8"/>
        <v>0</v>
      </c>
      <c r="L25" s="2"/>
      <c r="M25" s="2"/>
      <c r="N25" s="2"/>
      <c r="O25" s="2"/>
      <c r="P25" s="41">
        <f t="shared" si="9"/>
        <v>0</v>
      </c>
      <c r="Q25" s="2"/>
      <c r="R25" s="2"/>
      <c r="S25" s="2"/>
      <c r="T25" s="2"/>
      <c r="U25" s="77">
        <f t="shared" si="10"/>
        <v>0</v>
      </c>
      <c r="V25" s="2"/>
      <c r="W25" s="2"/>
      <c r="X25" s="2"/>
      <c r="Y25" s="2"/>
      <c r="Z25" s="2"/>
      <c r="AA25" s="2"/>
    </row>
    <row r="26" spans="1:28" s="65" customFormat="1" ht="25.15" hidden="1" customHeight="1" x14ac:dyDescent="0.25">
      <c r="A26" s="60" t="s">
        <v>57</v>
      </c>
      <c r="B26" s="61" t="s">
        <v>20</v>
      </c>
      <c r="C26" s="61">
        <v>226</v>
      </c>
      <c r="D26" s="66" t="s">
        <v>125</v>
      </c>
      <c r="E26" s="7">
        <v>138736.87</v>
      </c>
      <c r="F26" s="98"/>
      <c r="G26" s="4">
        <v>16205.46</v>
      </c>
      <c r="H26" s="7">
        <f t="shared" si="7"/>
        <v>122531.41</v>
      </c>
      <c r="I26" s="7"/>
      <c r="J26" s="7"/>
      <c r="K26" s="63">
        <f t="shared" si="8"/>
        <v>122531.41</v>
      </c>
      <c r="L26" s="7"/>
      <c r="M26" s="7"/>
      <c r="N26" s="7"/>
      <c r="O26" s="7">
        <v>122531.41</v>
      </c>
      <c r="P26" s="63">
        <f t="shared" si="9"/>
        <v>122531.41</v>
      </c>
      <c r="Q26" s="7"/>
      <c r="R26" s="7"/>
      <c r="S26" s="7"/>
      <c r="T26" s="7">
        <v>122531.41</v>
      </c>
      <c r="U26" s="64">
        <f t="shared" si="10"/>
        <v>25539.42</v>
      </c>
      <c r="V26" s="7"/>
      <c r="W26" s="7"/>
      <c r="X26" s="7"/>
      <c r="Y26" s="7">
        <v>25539.42</v>
      </c>
      <c r="Z26" s="7">
        <f t="shared" ref="Z26:Z32" si="11">T26-O26</f>
        <v>0</v>
      </c>
      <c r="AA26" s="7">
        <f>O26-Y26</f>
        <v>96991.99</v>
      </c>
    </row>
    <row r="27" spans="1:28" ht="30.6" hidden="1" customHeight="1" x14ac:dyDescent="0.25">
      <c r="A27" s="168" t="s">
        <v>58</v>
      </c>
      <c r="B27" s="3" t="s">
        <v>12</v>
      </c>
      <c r="C27" s="3">
        <v>226</v>
      </c>
      <c r="D27" s="25" t="s">
        <v>137</v>
      </c>
      <c r="E27" s="2">
        <v>883907.47</v>
      </c>
      <c r="F27" s="98"/>
      <c r="G27" s="4">
        <v>265172.24</v>
      </c>
      <c r="H27" s="7">
        <f t="shared" ref="H27:H32" si="12">E27-F27-G27</f>
        <v>618735.23</v>
      </c>
      <c r="I27" s="2"/>
      <c r="J27" s="2"/>
      <c r="K27" s="41">
        <f t="shared" si="8"/>
        <v>0</v>
      </c>
      <c r="L27" s="2"/>
      <c r="M27" s="2"/>
      <c r="N27" s="2"/>
      <c r="O27" s="2"/>
      <c r="P27" s="41">
        <f t="shared" si="9"/>
        <v>618735.23</v>
      </c>
      <c r="Q27" s="2"/>
      <c r="R27" s="2"/>
      <c r="S27" s="2"/>
      <c r="T27" s="2">
        <v>618735.23</v>
      </c>
      <c r="U27" s="46">
        <f t="shared" si="10"/>
        <v>0</v>
      </c>
      <c r="V27" s="2"/>
      <c r="W27" s="2"/>
      <c r="X27" s="2"/>
      <c r="Y27" s="2"/>
      <c r="Z27" s="7">
        <f t="shared" si="11"/>
        <v>618735.23</v>
      </c>
      <c r="AA27" s="7">
        <f>T27-Y27</f>
        <v>618735.23</v>
      </c>
    </row>
    <row r="28" spans="1:28" ht="26.45" hidden="1" customHeight="1" x14ac:dyDescent="0.25">
      <c r="A28" s="168" t="s">
        <v>59</v>
      </c>
      <c r="B28" s="3" t="s">
        <v>13</v>
      </c>
      <c r="C28" s="3">
        <v>226</v>
      </c>
      <c r="D28" s="26" t="s">
        <v>143</v>
      </c>
      <c r="E28" s="2">
        <v>901873.41</v>
      </c>
      <c r="F28" s="98"/>
      <c r="G28" s="4">
        <v>586217.72</v>
      </c>
      <c r="H28" s="7">
        <f t="shared" si="12"/>
        <v>315655.69000000006</v>
      </c>
      <c r="I28" s="2"/>
      <c r="J28" s="2"/>
      <c r="K28" s="41">
        <f t="shared" si="8"/>
        <v>0</v>
      </c>
      <c r="L28" s="2"/>
      <c r="M28" s="2"/>
      <c r="N28" s="2"/>
      <c r="O28" s="2"/>
      <c r="P28" s="41">
        <f t="shared" si="9"/>
        <v>315655.69</v>
      </c>
      <c r="Q28" s="2"/>
      <c r="R28" s="2"/>
      <c r="S28" s="2"/>
      <c r="T28" s="2">
        <v>315655.69</v>
      </c>
      <c r="U28" s="46">
        <f t="shared" si="10"/>
        <v>0</v>
      </c>
      <c r="V28" s="2"/>
      <c r="W28" s="2"/>
      <c r="X28" s="2"/>
      <c r="Y28" s="2"/>
      <c r="Z28" s="7">
        <f t="shared" si="11"/>
        <v>315655.69</v>
      </c>
      <c r="AA28" s="7">
        <f>T28-Y28</f>
        <v>315655.69</v>
      </c>
    </row>
    <row r="29" spans="1:28" ht="29.45" hidden="1" customHeight="1" x14ac:dyDescent="0.25">
      <c r="A29" s="168" t="s">
        <v>60</v>
      </c>
      <c r="B29" s="3" t="s">
        <v>15</v>
      </c>
      <c r="C29" s="3">
        <v>226</v>
      </c>
      <c r="D29" s="27" t="s">
        <v>149</v>
      </c>
      <c r="E29" s="2">
        <v>1013697.54</v>
      </c>
      <c r="F29" s="98"/>
      <c r="G29" s="4">
        <v>658903.4</v>
      </c>
      <c r="H29" s="7">
        <f t="shared" si="12"/>
        <v>354794.14</v>
      </c>
      <c r="I29" s="2"/>
      <c r="J29" s="2"/>
      <c r="K29" s="41">
        <f t="shared" si="8"/>
        <v>0</v>
      </c>
      <c r="L29" s="2"/>
      <c r="M29" s="2"/>
      <c r="N29" s="2"/>
      <c r="O29" s="2"/>
      <c r="P29" s="41">
        <f t="shared" si="9"/>
        <v>354794.14</v>
      </c>
      <c r="Q29" s="2"/>
      <c r="R29" s="2"/>
      <c r="S29" s="2"/>
      <c r="T29" s="2">
        <v>354794.14</v>
      </c>
      <c r="U29" s="46">
        <f t="shared" si="10"/>
        <v>0</v>
      </c>
      <c r="V29" s="2"/>
      <c r="W29" s="2"/>
      <c r="X29" s="2"/>
      <c r="Y29" s="2"/>
      <c r="Z29" s="7">
        <f t="shared" si="11"/>
        <v>354794.14</v>
      </c>
      <c r="AA29" s="7">
        <f>T29-Y29</f>
        <v>354794.14</v>
      </c>
    </row>
    <row r="30" spans="1:28" s="65" customFormat="1" ht="37.5" hidden="1" customHeight="1" x14ac:dyDescent="0.25">
      <c r="A30" s="60" t="s">
        <v>61</v>
      </c>
      <c r="B30" s="61" t="s">
        <v>14</v>
      </c>
      <c r="C30" s="61">
        <v>226</v>
      </c>
      <c r="D30" s="66" t="s">
        <v>229</v>
      </c>
      <c r="E30" s="7">
        <v>1297952.42</v>
      </c>
      <c r="F30" s="98"/>
      <c r="G30" s="4">
        <v>843669.07</v>
      </c>
      <c r="H30" s="7">
        <f t="shared" si="12"/>
        <v>454283.35</v>
      </c>
      <c r="I30" s="7"/>
      <c r="J30" s="7"/>
      <c r="K30" s="63">
        <f t="shared" si="8"/>
        <v>454283.35</v>
      </c>
      <c r="L30" s="7"/>
      <c r="M30" s="7"/>
      <c r="N30" s="7"/>
      <c r="O30" s="7">
        <v>454283.35</v>
      </c>
      <c r="P30" s="63">
        <f t="shared" si="9"/>
        <v>454283.35</v>
      </c>
      <c r="Q30" s="7"/>
      <c r="R30" s="7"/>
      <c r="S30" s="7"/>
      <c r="T30" s="7">
        <v>454283.35</v>
      </c>
      <c r="U30" s="64">
        <f t="shared" si="10"/>
        <v>0</v>
      </c>
      <c r="V30" s="7"/>
      <c r="W30" s="7"/>
      <c r="X30" s="7"/>
      <c r="Y30" s="7">
        <v>0</v>
      </c>
      <c r="Z30" s="7">
        <f t="shared" si="11"/>
        <v>0</v>
      </c>
      <c r="AA30" s="7">
        <f>O30</f>
        <v>454283.35</v>
      </c>
    </row>
    <row r="31" spans="1:28" s="65" customFormat="1" ht="77.25" hidden="1" customHeight="1" x14ac:dyDescent="0.25">
      <c r="A31" s="60" t="s">
        <v>120</v>
      </c>
      <c r="B31" s="61" t="s">
        <v>208</v>
      </c>
      <c r="C31" s="61">
        <v>226</v>
      </c>
      <c r="D31" s="66" t="s">
        <v>209</v>
      </c>
      <c r="E31" s="7">
        <v>58020.91</v>
      </c>
      <c r="F31" s="98"/>
      <c r="G31" s="4"/>
      <c r="H31" s="7">
        <f t="shared" si="12"/>
        <v>58020.91</v>
      </c>
      <c r="I31" s="7"/>
      <c r="J31" s="7"/>
      <c r="K31" s="63">
        <f t="shared" si="8"/>
        <v>58020.91</v>
      </c>
      <c r="L31" s="7"/>
      <c r="M31" s="7"/>
      <c r="N31" s="7"/>
      <c r="O31" s="7">
        <v>58020.91</v>
      </c>
      <c r="P31" s="63">
        <f t="shared" si="9"/>
        <v>58020.91</v>
      </c>
      <c r="Q31" s="7"/>
      <c r="R31" s="7"/>
      <c r="S31" s="7"/>
      <c r="T31" s="7">
        <v>58020.91</v>
      </c>
      <c r="U31" s="64">
        <f t="shared" si="10"/>
        <v>0</v>
      </c>
      <c r="V31" s="7"/>
      <c r="W31" s="7"/>
      <c r="X31" s="7"/>
      <c r="Y31" s="7">
        <v>0</v>
      </c>
      <c r="Z31" s="7">
        <f t="shared" si="11"/>
        <v>0</v>
      </c>
      <c r="AA31" s="7">
        <f>O31</f>
        <v>58020.91</v>
      </c>
    </row>
    <row r="32" spans="1:28" s="65" customFormat="1" ht="48.75" hidden="1" customHeight="1" x14ac:dyDescent="0.25">
      <c r="A32" s="60" t="s">
        <v>121</v>
      </c>
      <c r="B32" s="68" t="s">
        <v>248</v>
      </c>
      <c r="C32" s="68">
        <v>226</v>
      </c>
      <c r="D32" s="121" t="s">
        <v>308</v>
      </c>
      <c r="E32" s="7">
        <v>1239</v>
      </c>
      <c r="F32" s="98"/>
      <c r="G32" s="4"/>
      <c r="H32" s="7">
        <f t="shared" si="12"/>
        <v>1239</v>
      </c>
      <c r="I32" s="7"/>
      <c r="J32" s="7"/>
      <c r="K32" s="63">
        <f>SUM(L32:O32)</f>
        <v>0</v>
      </c>
      <c r="L32" s="7"/>
      <c r="M32" s="7"/>
      <c r="N32" s="7"/>
      <c r="O32" s="7"/>
      <c r="P32" s="63">
        <f t="shared" si="9"/>
        <v>1239</v>
      </c>
      <c r="Q32" s="7"/>
      <c r="R32" s="7"/>
      <c r="S32" s="7"/>
      <c r="T32" s="7">
        <v>1239</v>
      </c>
      <c r="U32" s="64">
        <f t="shared" si="10"/>
        <v>0</v>
      </c>
      <c r="V32" s="7"/>
      <c r="W32" s="7"/>
      <c r="X32" s="7"/>
      <c r="Y32" s="7">
        <v>0</v>
      </c>
      <c r="Z32" s="7">
        <f t="shared" si="11"/>
        <v>1239</v>
      </c>
      <c r="AA32" s="7">
        <f>T32-O32</f>
        <v>1239</v>
      </c>
    </row>
    <row r="33" spans="1:29" s="14" customFormat="1" ht="31.5" hidden="1" customHeight="1" x14ac:dyDescent="0.25">
      <c r="A33" s="11" t="s">
        <v>36</v>
      </c>
      <c r="B33" s="12" t="s">
        <v>16</v>
      </c>
      <c r="C33" s="12"/>
      <c r="D33" s="12"/>
      <c r="E33" s="13">
        <f>SUM(E34:E47)</f>
        <v>185349448.66999999</v>
      </c>
      <c r="F33" s="102">
        <f>SUM(F34:F47)</f>
        <v>191452.69</v>
      </c>
      <c r="G33" s="83">
        <f>SUM(G34:G47)</f>
        <v>7668179.0499999998</v>
      </c>
      <c r="H33" s="89">
        <f>SUM(H34:H47)</f>
        <v>177489816.92999998</v>
      </c>
      <c r="I33" s="13">
        <v>1701.22</v>
      </c>
      <c r="J33" s="13">
        <f>E33/I33</f>
        <v>108950.89916060238</v>
      </c>
      <c r="K33" s="40">
        <f>K34+K37+K38+K39+K40+K41+K42+K43+K44+K45+K46+K47</f>
        <v>84605210.129999995</v>
      </c>
      <c r="L33" s="13">
        <f t="shared" ref="L33:AA33" si="13">L34+L37+L38+L39+L40+L41+L42+L43+L44+L45+L46+L47</f>
        <v>14474987.84</v>
      </c>
      <c r="M33" s="13">
        <f t="shared" si="13"/>
        <v>32700717.09</v>
      </c>
      <c r="N33" s="13">
        <f t="shared" si="13"/>
        <v>1406383.15</v>
      </c>
      <c r="O33" s="13">
        <f t="shared" si="13"/>
        <v>36023122.050000004</v>
      </c>
      <c r="P33" s="40">
        <f t="shared" si="13"/>
        <v>89674873.980000004</v>
      </c>
      <c r="Q33" s="13">
        <f t="shared" si="13"/>
        <v>14474987.84</v>
      </c>
      <c r="R33" s="13">
        <f t="shared" si="13"/>
        <v>32700717.09</v>
      </c>
      <c r="S33" s="13">
        <f t="shared" si="13"/>
        <v>4002974.0300000003</v>
      </c>
      <c r="T33" s="40">
        <f t="shared" si="13"/>
        <v>38496195.020000003</v>
      </c>
      <c r="U33" s="40">
        <f t="shared" si="13"/>
        <v>15102713.889999999</v>
      </c>
      <c r="V33" s="13">
        <f t="shared" si="13"/>
        <v>4070608.55</v>
      </c>
      <c r="W33" s="13">
        <f t="shared" si="13"/>
        <v>9842209.2699999996</v>
      </c>
      <c r="X33" s="13">
        <f t="shared" si="13"/>
        <v>1180280.29</v>
      </c>
      <c r="Y33" s="13">
        <f t="shared" si="13"/>
        <v>9615.7800000000007</v>
      </c>
      <c r="Z33" s="40">
        <f t="shared" si="13"/>
        <v>5069663.8499999996</v>
      </c>
      <c r="AA33" s="40">
        <f t="shared" si="13"/>
        <v>41309272.980000004</v>
      </c>
    </row>
    <row r="34" spans="1:29" ht="47.45" hidden="1" customHeight="1" x14ac:dyDescent="0.25">
      <c r="A34" s="168" t="s">
        <v>62</v>
      </c>
      <c r="B34" s="1" t="s">
        <v>32</v>
      </c>
      <c r="C34" s="323">
        <v>310</v>
      </c>
      <c r="D34" s="318" t="s">
        <v>261</v>
      </c>
      <c r="E34" s="76">
        <v>90059472</v>
      </c>
      <c r="F34" s="107"/>
      <c r="G34" s="112">
        <v>2244529.0499999998</v>
      </c>
      <c r="H34" s="7">
        <f t="shared" ref="H34:H45" si="14">E34-F34-G34</f>
        <v>87814942.950000003</v>
      </c>
      <c r="I34" s="36">
        <v>1701.22</v>
      </c>
      <c r="J34" s="36">
        <f>E34/I34</f>
        <v>52938.169078661194</v>
      </c>
      <c r="K34" s="41">
        <f t="shared" ref="K34:Q34" si="15">SUM(K35:K36)</f>
        <v>83933827.700000003</v>
      </c>
      <c r="L34" s="36">
        <f t="shared" si="15"/>
        <v>14474987.84</v>
      </c>
      <c r="M34" s="36">
        <f t="shared" si="15"/>
        <v>32700717.09</v>
      </c>
      <c r="N34" s="36">
        <f t="shared" si="15"/>
        <v>1406383.15</v>
      </c>
      <c r="O34" s="36">
        <f t="shared" si="15"/>
        <v>35351739.620000005</v>
      </c>
      <c r="P34" s="41">
        <f t="shared" si="15"/>
        <v>87814942.950000003</v>
      </c>
      <c r="Q34" s="36">
        <f t="shared" si="15"/>
        <v>14474987.84</v>
      </c>
      <c r="R34" s="36">
        <f t="shared" ref="R34:Z34" si="16">SUM(R35:R36)</f>
        <v>32700717.09</v>
      </c>
      <c r="S34" s="36">
        <f t="shared" si="16"/>
        <v>4002974.0300000003</v>
      </c>
      <c r="T34" s="36">
        <f t="shared" si="16"/>
        <v>36636263.990000002</v>
      </c>
      <c r="U34" s="46">
        <f t="shared" si="16"/>
        <v>15093098.109999999</v>
      </c>
      <c r="V34" s="36">
        <f t="shared" si="16"/>
        <v>4070608.55</v>
      </c>
      <c r="W34" s="36">
        <f t="shared" si="16"/>
        <v>9842209.2699999996</v>
      </c>
      <c r="X34" s="36">
        <f t="shared" si="16"/>
        <v>1180280.29</v>
      </c>
      <c r="Y34" s="36">
        <f t="shared" si="16"/>
        <v>0</v>
      </c>
      <c r="Z34" s="46">
        <f t="shared" si="16"/>
        <v>3881115.25</v>
      </c>
      <c r="AA34" s="46">
        <f>SUM(AA35:AA36)</f>
        <v>39458957.730000004</v>
      </c>
    </row>
    <row r="35" spans="1:29" ht="17.25" hidden="1" customHeight="1" x14ac:dyDescent="0.25">
      <c r="A35" s="168"/>
      <c r="B35" s="1" t="s">
        <v>193</v>
      </c>
      <c r="C35" s="324"/>
      <c r="D35" s="319"/>
      <c r="E35" s="132">
        <v>86968019.629999995</v>
      </c>
      <c r="F35" s="98"/>
      <c r="G35" s="85">
        <v>2244529.0499999998</v>
      </c>
      <c r="H35" s="7">
        <f>E35-F35-G35</f>
        <v>84723490.579999998</v>
      </c>
      <c r="I35" s="36"/>
      <c r="J35" s="36"/>
      <c r="K35" s="41">
        <f t="shared" ref="K35:K46" si="17">SUM(L35:O35)</f>
        <v>82126899.700000003</v>
      </c>
      <c r="L35" s="36">
        <v>13316807.15</v>
      </c>
      <c r="M35" s="36">
        <v>32193298.649999999</v>
      </c>
      <c r="N35" s="129">
        <v>1265054.28</v>
      </c>
      <c r="O35" s="36">
        <f>5282728+30069011.62</f>
        <v>35351739.620000005</v>
      </c>
      <c r="P35" s="41">
        <f t="shared" ref="P35:P46" si="18">SUM(Q35:T35)</f>
        <v>84723490.579999998</v>
      </c>
      <c r="Q35" s="36">
        <f>13922156.64-605349.49</f>
        <v>13316807.15</v>
      </c>
      <c r="R35" s="36">
        <f>33656956.04-1463657.39</f>
        <v>32193298.649999999</v>
      </c>
      <c r="S35" s="36">
        <f>4037167.33-175522.17</f>
        <v>3861645.16</v>
      </c>
      <c r="T35" s="36">
        <f>5282728+30069011.62</f>
        <v>35351739.620000005</v>
      </c>
      <c r="U35" s="46">
        <f>SUM(V35:Y35)</f>
        <v>15093098.109999999</v>
      </c>
      <c r="V35" s="36">
        <v>4070608.55</v>
      </c>
      <c r="W35" s="36">
        <v>9842209.2699999996</v>
      </c>
      <c r="X35" s="36">
        <v>1180280.29</v>
      </c>
      <c r="Y35" s="36">
        <v>0</v>
      </c>
      <c r="Z35" s="36">
        <f>S35-N35</f>
        <v>2596590.88</v>
      </c>
      <c r="AA35" s="36">
        <f>Z35+N35-X35+O35</f>
        <v>38033104.490000002</v>
      </c>
      <c r="AB35" s="50">
        <f>S35-N35+N35-X35+O35-Y35</f>
        <v>38033104.490000002</v>
      </c>
      <c r="AC35" s="49"/>
    </row>
    <row r="36" spans="1:29" ht="17.25" hidden="1" customHeight="1" x14ac:dyDescent="0.25">
      <c r="A36" s="168"/>
      <c r="B36" s="1" t="s">
        <v>194</v>
      </c>
      <c r="C36" s="325"/>
      <c r="D36" s="320"/>
      <c r="E36" s="133">
        <v>3091452.37</v>
      </c>
      <c r="F36" s="108"/>
      <c r="G36" s="130">
        <v>0</v>
      </c>
      <c r="H36" s="7">
        <f t="shared" si="14"/>
        <v>3091452.37</v>
      </c>
      <c r="I36" s="36"/>
      <c r="J36" s="36"/>
      <c r="K36" s="41">
        <f t="shared" si="17"/>
        <v>1806928</v>
      </c>
      <c r="L36" s="36">
        <v>1158180.69</v>
      </c>
      <c r="M36" s="36">
        <v>507418.44</v>
      </c>
      <c r="N36" s="36">
        <v>141328.87</v>
      </c>
      <c r="O36" s="36">
        <v>0</v>
      </c>
      <c r="P36" s="41">
        <f t="shared" si="18"/>
        <v>3091452.37</v>
      </c>
      <c r="Q36" s="36">
        <v>1158180.69</v>
      </c>
      <c r="R36" s="36">
        <v>507418.44</v>
      </c>
      <c r="S36" s="36">
        <v>141328.87</v>
      </c>
      <c r="T36" s="36">
        <f>247044+1037480.37</f>
        <v>1284524.3700000001</v>
      </c>
      <c r="U36" s="46">
        <f>SUM(V36:Y36)</f>
        <v>0</v>
      </c>
      <c r="V36" s="36">
        <v>0</v>
      </c>
      <c r="W36" s="36">
        <v>0</v>
      </c>
      <c r="X36" s="36">
        <v>0</v>
      </c>
      <c r="Y36" s="36">
        <v>0</v>
      </c>
      <c r="Z36" s="36">
        <f>T36-O36</f>
        <v>1284524.3700000001</v>
      </c>
      <c r="AA36" s="36">
        <f>Z36+N36</f>
        <v>1425853.2400000002</v>
      </c>
      <c r="AB36" s="50">
        <f>N36+T36</f>
        <v>1425853.2400000002</v>
      </c>
    </row>
    <row r="37" spans="1:29" ht="24" hidden="1" x14ac:dyDescent="0.25">
      <c r="A37" s="168" t="s">
        <v>63</v>
      </c>
      <c r="B37" s="3" t="s">
        <v>10</v>
      </c>
      <c r="C37" s="3">
        <v>226</v>
      </c>
      <c r="D37" s="25" t="s">
        <v>177</v>
      </c>
      <c r="E37" s="2">
        <v>3340</v>
      </c>
      <c r="F37" s="98">
        <v>3340</v>
      </c>
      <c r="G37" s="4"/>
      <c r="H37" s="7">
        <f t="shared" si="14"/>
        <v>0</v>
      </c>
      <c r="I37" s="2"/>
      <c r="J37" s="2"/>
      <c r="K37" s="41">
        <f t="shared" si="17"/>
        <v>0</v>
      </c>
      <c r="L37" s="2"/>
      <c r="M37" s="2"/>
      <c r="N37" s="2"/>
      <c r="O37" s="2"/>
      <c r="P37" s="41">
        <f t="shared" si="18"/>
        <v>0</v>
      </c>
      <c r="Q37" s="2"/>
      <c r="R37" s="2"/>
      <c r="S37" s="2"/>
      <c r="T37" s="2"/>
      <c r="U37" s="46">
        <f t="shared" ref="U37:U46" si="19">SUM(V37:Y37)</f>
        <v>0</v>
      </c>
      <c r="V37" s="2"/>
      <c r="W37" s="2"/>
      <c r="X37" s="2"/>
      <c r="Y37" s="2"/>
      <c r="Z37" s="2"/>
      <c r="AA37" s="2"/>
    </row>
    <row r="38" spans="1:29" s="8" customFormat="1" ht="51" hidden="1" customHeight="1" x14ac:dyDescent="0.25">
      <c r="A38" s="5" t="s">
        <v>64</v>
      </c>
      <c r="B38" s="1" t="s">
        <v>1</v>
      </c>
      <c r="C38" s="1">
        <v>226</v>
      </c>
      <c r="D38" s="28" t="s">
        <v>165</v>
      </c>
      <c r="E38" s="2">
        <v>188112.69</v>
      </c>
      <c r="F38" s="98">
        <v>188112.69</v>
      </c>
      <c r="G38" s="4"/>
      <c r="H38" s="7">
        <f t="shared" si="14"/>
        <v>0</v>
      </c>
      <c r="I38" s="2"/>
      <c r="J38" s="2"/>
      <c r="K38" s="41">
        <f t="shared" si="17"/>
        <v>0</v>
      </c>
      <c r="L38" s="2"/>
      <c r="M38" s="2"/>
      <c r="N38" s="2"/>
      <c r="O38" s="2"/>
      <c r="P38" s="41">
        <f t="shared" si="18"/>
        <v>0</v>
      </c>
      <c r="Q38" s="2"/>
      <c r="R38" s="2"/>
      <c r="S38" s="2"/>
      <c r="T38" s="2"/>
      <c r="U38" s="77">
        <f t="shared" si="19"/>
        <v>0</v>
      </c>
      <c r="V38" s="2"/>
      <c r="W38" s="2"/>
      <c r="X38" s="2"/>
      <c r="Y38" s="2"/>
      <c r="Z38" s="2"/>
      <c r="AA38" s="2"/>
    </row>
    <row r="39" spans="1:29" s="8" customFormat="1" ht="27.6" hidden="1" customHeight="1" x14ac:dyDescent="0.25">
      <c r="A39" s="5" t="s">
        <v>65</v>
      </c>
      <c r="B39" s="1" t="s">
        <v>1</v>
      </c>
      <c r="C39" s="1">
        <v>226</v>
      </c>
      <c r="D39" s="25" t="s">
        <v>180</v>
      </c>
      <c r="E39" s="2">
        <v>19644.400000000001</v>
      </c>
      <c r="F39" s="98"/>
      <c r="G39" s="4">
        <v>19644.400000000001</v>
      </c>
      <c r="H39" s="7">
        <f t="shared" si="14"/>
        <v>0</v>
      </c>
      <c r="I39" s="2"/>
      <c r="J39" s="2"/>
      <c r="K39" s="41">
        <f t="shared" si="17"/>
        <v>0</v>
      </c>
      <c r="L39" s="2"/>
      <c r="M39" s="2"/>
      <c r="N39" s="2"/>
      <c r="O39" s="2"/>
      <c r="P39" s="41">
        <f t="shared" si="18"/>
        <v>0</v>
      </c>
      <c r="Q39" s="2"/>
      <c r="R39" s="2"/>
      <c r="S39" s="2"/>
      <c r="T39" s="2"/>
      <c r="U39" s="77">
        <f t="shared" si="19"/>
        <v>0</v>
      </c>
      <c r="V39" s="2"/>
      <c r="W39" s="2"/>
      <c r="X39" s="2"/>
      <c r="Y39" s="2"/>
      <c r="Z39" s="2"/>
      <c r="AA39" s="2"/>
    </row>
    <row r="40" spans="1:29" s="8" customFormat="1" ht="36" hidden="1" x14ac:dyDescent="0.25">
      <c r="A40" s="5" t="s">
        <v>66</v>
      </c>
      <c r="B40" s="1" t="s">
        <v>11</v>
      </c>
      <c r="C40" s="1">
        <v>226</v>
      </c>
      <c r="D40" s="25" t="s">
        <v>133</v>
      </c>
      <c r="E40" s="2">
        <v>933921.26</v>
      </c>
      <c r="F40" s="98"/>
      <c r="G40" s="4">
        <v>933921.26</v>
      </c>
      <c r="H40" s="7">
        <f t="shared" si="14"/>
        <v>0</v>
      </c>
      <c r="I40" s="2"/>
      <c r="J40" s="2"/>
      <c r="K40" s="41">
        <f t="shared" si="17"/>
        <v>0</v>
      </c>
      <c r="L40" s="2"/>
      <c r="M40" s="2"/>
      <c r="N40" s="2"/>
      <c r="O40" s="2"/>
      <c r="P40" s="41">
        <f t="shared" si="18"/>
        <v>0</v>
      </c>
      <c r="Q40" s="2"/>
      <c r="R40" s="2"/>
      <c r="S40" s="2"/>
      <c r="T40" s="2"/>
      <c r="U40" s="77">
        <f t="shared" si="19"/>
        <v>0</v>
      </c>
      <c r="V40" s="2"/>
      <c r="W40" s="2"/>
      <c r="X40" s="2"/>
      <c r="Y40" s="2"/>
      <c r="Z40" s="2"/>
      <c r="AA40" s="2"/>
    </row>
    <row r="41" spans="1:29" s="65" customFormat="1" ht="24" hidden="1" x14ac:dyDescent="0.25">
      <c r="A41" s="60" t="s">
        <v>67</v>
      </c>
      <c r="B41" s="61" t="s">
        <v>20</v>
      </c>
      <c r="C41" s="61">
        <v>226</v>
      </c>
      <c r="D41" s="66" t="s">
        <v>126</v>
      </c>
      <c r="E41" s="7">
        <v>152643.17000000001</v>
      </c>
      <c r="F41" s="98"/>
      <c r="G41" s="4">
        <v>3804.29</v>
      </c>
      <c r="H41" s="7">
        <f t="shared" si="14"/>
        <v>148838.88</v>
      </c>
      <c r="I41" s="7"/>
      <c r="J41" s="7"/>
      <c r="K41" s="63">
        <f t="shared" si="17"/>
        <v>148838.88</v>
      </c>
      <c r="L41" s="7"/>
      <c r="M41" s="7"/>
      <c r="N41" s="7"/>
      <c r="O41" s="7">
        <v>148838.88</v>
      </c>
      <c r="P41" s="63">
        <f t="shared" si="18"/>
        <v>148838.88</v>
      </c>
      <c r="Q41" s="7"/>
      <c r="R41" s="7"/>
      <c r="S41" s="7"/>
      <c r="T41" s="7">
        <v>148838.88</v>
      </c>
      <c r="U41" s="64">
        <f t="shared" si="19"/>
        <v>9615.7800000000007</v>
      </c>
      <c r="V41" s="7"/>
      <c r="W41" s="7"/>
      <c r="X41" s="7"/>
      <c r="Y41" s="7">
        <v>9615.7800000000007</v>
      </c>
      <c r="Z41" s="7">
        <f t="shared" ref="Z41:Z47" si="20">T41-O41</f>
        <v>0</v>
      </c>
      <c r="AA41" s="7">
        <f>O41-Y41</f>
        <v>139223.1</v>
      </c>
    </row>
    <row r="42" spans="1:29" ht="24" hidden="1" x14ac:dyDescent="0.25">
      <c r="A42" s="168" t="s">
        <v>68</v>
      </c>
      <c r="B42" s="3" t="s">
        <v>12</v>
      </c>
      <c r="C42" s="3">
        <v>226</v>
      </c>
      <c r="D42" s="25" t="s">
        <v>138</v>
      </c>
      <c r="E42" s="2">
        <v>838322.56</v>
      </c>
      <c r="F42" s="98"/>
      <c r="G42" s="4">
        <v>251496.77</v>
      </c>
      <c r="H42" s="7">
        <f t="shared" si="14"/>
        <v>586825.79</v>
      </c>
      <c r="I42" s="2"/>
      <c r="J42" s="2"/>
      <c r="K42" s="41">
        <f t="shared" si="17"/>
        <v>0</v>
      </c>
      <c r="L42" s="2"/>
      <c r="M42" s="2"/>
      <c r="N42" s="2"/>
      <c r="O42" s="2"/>
      <c r="P42" s="41">
        <f t="shared" si="18"/>
        <v>586825.79</v>
      </c>
      <c r="Q42" s="2"/>
      <c r="R42" s="2"/>
      <c r="S42" s="2"/>
      <c r="T42" s="2">
        <v>586825.79</v>
      </c>
      <c r="U42" s="46">
        <f t="shared" si="19"/>
        <v>0</v>
      </c>
      <c r="V42" s="2"/>
      <c r="W42" s="2"/>
      <c r="X42" s="2"/>
      <c r="Y42" s="2"/>
      <c r="Z42" s="2">
        <f t="shared" si="20"/>
        <v>586825.79</v>
      </c>
      <c r="AA42" s="2">
        <f>T42-O42-Y42</f>
        <v>586825.79</v>
      </c>
    </row>
    <row r="43" spans="1:29" ht="24" hidden="1" x14ac:dyDescent="0.25">
      <c r="A43" s="168" t="s">
        <v>69</v>
      </c>
      <c r="B43" s="3" t="s">
        <v>13</v>
      </c>
      <c r="C43" s="3">
        <v>226</v>
      </c>
      <c r="D43" s="26" t="s">
        <v>144</v>
      </c>
      <c r="E43" s="2">
        <v>805673.58</v>
      </c>
      <c r="F43" s="98"/>
      <c r="G43" s="4">
        <v>523687.83</v>
      </c>
      <c r="H43" s="7">
        <f t="shared" si="14"/>
        <v>281985.74999999994</v>
      </c>
      <c r="I43" s="2"/>
      <c r="J43" s="2"/>
      <c r="K43" s="41">
        <f t="shared" si="17"/>
        <v>0</v>
      </c>
      <c r="L43" s="2"/>
      <c r="M43" s="2"/>
      <c r="N43" s="2"/>
      <c r="O43" s="2"/>
      <c r="P43" s="41">
        <f t="shared" si="18"/>
        <v>281985.75</v>
      </c>
      <c r="Q43" s="2"/>
      <c r="R43" s="2"/>
      <c r="S43" s="2"/>
      <c r="T43" s="2">
        <v>281985.75</v>
      </c>
      <c r="U43" s="46">
        <f t="shared" si="19"/>
        <v>0</v>
      </c>
      <c r="V43" s="2"/>
      <c r="W43" s="2"/>
      <c r="X43" s="2"/>
      <c r="Y43" s="2"/>
      <c r="Z43" s="2">
        <f t="shared" si="20"/>
        <v>281985.75</v>
      </c>
      <c r="AA43" s="2">
        <f>T43-O43-Y43</f>
        <v>281985.75</v>
      </c>
    </row>
    <row r="44" spans="1:29" s="8" customFormat="1" ht="24" hidden="1" x14ac:dyDescent="0.25">
      <c r="A44" s="5" t="s">
        <v>70</v>
      </c>
      <c r="B44" s="1" t="s">
        <v>15</v>
      </c>
      <c r="C44" s="1">
        <v>226</v>
      </c>
      <c r="D44" s="28" t="s">
        <v>150</v>
      </c>
      <c r="E44" s="2">
        <v>909994.46</v>
      </c>
      <c r="F44" s="98"/>
      <c r="G44" s="4">
        <v>591496.4</v>
      </c>
      <c r="H44" s="7">
        <f t="shared" si="14"/>
        <v>318498.05999999994</v>
      </c>
      <c r="I44" s="2"/>
      <c r="J44" s="2"/>
      <c r="K44" s="41">
        <f t="shared" si="17"/>
        <v>0</v>
      </c>
      <c r="L44" s="2"/>
      <c r="M44" s="2"/>
      <c r="N44" s="2"/>
      <c r="O44" s="2"/>
      <c r="P44" s="41">
        <f t="shared" si="18"/>
        <v>318498.06</v>
      </c>
      <c r="Q44" s="2"/>
      <c r="R44" s="2"/>
      <c r="S44" s="2"/>
      <c r="T44" s="2">
        <v>318498.06</v>
      </c>
      <c r="U44" s="77">
        <f t="shared" si="19"/>
        <v>0</v>
      </c>
      <c r="V44" s="2"/>
      <c r="W44" s="2"/>
      <c r="X44" s="2"/>
      <c r="Y44" s="2"/>
      <c r="Z44" s="2">
        <f t="shared" si="20"/>
        <v>318498.06</v>
      </c>
      <c r="AA44" s="2">
        <f>T44-O44-Y44</f>
        <v>318498.06</v>
      </c>
    </row>
    <row r="45" spans="1:29" s="65" customFormat="1" ht="24" hidden="1" x14ac:dyDescent="0.25">
      <c r="A45" s="60" t="s">
        <v>71</v>
      </c>
      <c r="B45" s="61" t="s">
        <v>14</v>
      </c>
      <c r="C45" s="61">
        <v>226</v>
      </c>
      <c r="D45" s="66" t="s">
        <v>230</v>
      </c>
      <c r="E45" s="7">
        <v>1315492.32</v>
      </c>
      <c r="F45" s="98"/>
      <c r="G45" s="4">
        <v>855070</v>
      </c>
      <c r="H45" s="7">
        <f t="shared" si="14"/>
        <v>460422.32000000007</v>
      </c>
      <c r="I45" s="7"/>
      <c r="J45" s="7"/>
      <c r="K45" s="63">
        <f t="shared" si="17"/>
        <v>460422.32</v>
      </c>
      <c r="L45" s="7"/>
      <c r="M45" s="7"/>
      <c r="N45" s="7"/>
      <c r="O45" s="7">
        <v>460422.32</v>
      </c>
      <c r="P45" s="63">
        <f t="shared" si="18"/>
        <v>460422.32</v>
      </c>
      <c r="Q45" s="7"/>
      <c r="R45" s="7"/>
      <c r="S45" s="7"/>
      <c r="T45" s="7">
        <v>460422.32</v>
      </c>
      <c r="U45" s="64">
        <f t="shared" si="19"/>
        <v>0</v>
      </c>
      <c r="V45" s="7"/>
      <c r="W45" s="7"/>
      <c r="X45" s="7"/>
      <c r="Y45" s="7">
        <v>0</v>
      </c>
      <c r="Z45" s="7">
        <f t="shared" si="20"/>
        <v>0</v>
      </c>
      <c r="AA45" s="7">
        <f>O45</f>
        <v>460422.32</v>
      </c>
    </row>
    <row r="46" spans="1:29" s="65" customFormat="1" ht="62.25" hidden="1" customHeight="1" x14ac:dyDescent="0.25">
      <c r="A46" s="60" t="s">
        <v>210</v>
      </c>
      <c r="B46" s="61" t="s">
        <v>208</v>
      </c>
      <c r="C46" s="61">
        <v>226</v>
      </c>
      <c r="D46" s="66" t="s">
        <v>211</v>
      </c>
      <c r="E46" s="7">
        <v>62121.23</v>
      </c>
      <c r="F46" s="98"/>
      <c r="G46" s="4"/>
      <c r="H46" s="7">
        <f>E46-F46-G46</f>
        <v>62121.23</v>
      </c>
      <c r="I46" s="7"/>
      <c r="J46" s="7"/>
      <c r="K46" s="63">
        <f t="shared" si="17"/>
        <v>62121.23</v>
      </c>
      <c r="L46" s="7"/>
      <c r="M46" s="7"/>
      <c r="N46" s="7"/>
      <c r="O46" s="7">
        <v>62121.23</v>
      </c>
      <c r="P46" s="63">
        <f t="shared" si="18"/>
        <v>62121.23</v>
      </c>
      <c r="Q46" s="7"/>
      <c r="R46" s="7"/>
      <c r="S46" s="7"/>
      <c r="T46" s="7">
        <v>62121.23</v>
      </c>
      <c r="U46" s="64">
        <f t="shared" si="19"/>
        <v>0</v>
      </c>
      <c r="V46" s="7"/>
      <c r="W46" s="7"/>
      <c r="X46" s="7"/>
      <c r="Y46" s="7">
        <v>0</v>
      </c>
      <c r="Z46" s="7">
        <f t="shared" si="20"/>
        <v>0</v>
      </c>
      <c r="AA46" s="7">
        <f>O46</f>
        <v>62121.23</v>
      </c>
    </row>
    <row r="47" spans="1:29" s="65" customFormat="1" ht="48.75" hidden="1" customHeight="1" x14ac:dyDescent="0.25">
      <c r="A47" s="60" t="s">
        <v>254</v>
      </c>
      <c r="B47" s="68" t="s">
        <v>248</v>
      </c>
      <c r="C47" s="68">
        <v>226</v>
      </c>
      <c r="D47" s="121" t="s">
        <v>308</v>
      </c>
      <c r="E47" s="7">
        <v>1239</v>
      </c>
      <c r="F47" s="98"/>
      <c r="G47" s="4"/>
      <c r="H47" s="7">
        <f>E47-F47-G47</f>
        <v>1239</v>
      </c>
      <c r="I47" s="7"/>
      <c r="J47" s="7"/>
      <c r="K47" s="63">
        <f>SUM(L47:O47)</f>
        <v>0</v>
      </c>
      <c r="L47" s="7"/>
      <c r="M47" s="7"/>
      <c r="N47" s="7"/>
      <c r="O47" s="7"/>
      <c r="P47" s="63">
        <f>SUM(Q47:T47)</f>
        <v>1239</v>
      </c>
      <c r="Q47" s="7"/>
      <c r="R47" s="7"/>
      <c r="S47" s="7"/>
      <c r="T47" s="7">
        <v>1239</v>
      </c>
      <c r="U47" s="64">
        <f>SUM(V47:Y47)</f>
        <v>0</v>
      </c>
      <c r="V47" s="7"/>
      <c r="W47" s="7"/>
      <c r="X47" s="7"/>
      <c r="Y47" s="7">
        <v>0</v>
      </c>
      <c r="Z47" s="7">
        <f t="shared" si="20"/>
        <v>1239</v>
      </c>
      <c r="AA47" s="7">
        <f>T47-O47</f>
        <v>1239</v>
      </c>
    </row>
    <row r="48" spans="1:29" s="14" customFormat="1" ht="34.5" hidden="1" customHeight="1" x14ac:dyDescent="0.25">
      <c r="A48" s="11" t="s">
        <v>37</v>
      </c>
      <c r="B48" s="15" t="s">
        <v>3</v>
      </c>
      <c r="C48" s="15"/>
      <c r="D48" s="15"/>
      <c r="E48" s="13">
        <f>SUM(E49:E61)</f>
        <v>125982748.82000002</v>
      </c>
      <c r="F48" s="102">
        <f>SUM(F49:F61)</f>
        <v>193112.69</v>
      </c>
      <c r="G48" s="83">
        <f>SUM(G49:G61)</f>
        <v>22341113.879999999</v>
      </c>
      <c r="H48" s="89">
        <f>SUM(H49:H61)</f>
        <v>103448522.25000001</v>
      </c>
      <c r="I48" s="128">
        <v>1761.37</v>
      </c>
      <c r="J48" s="13">
        <f>E48/I48</f>
        <v>71525.431238183926</v>
      </c>
      <c r="K48" s="40">
        <f>SUM(K49:K61)</f>
        <v>102163882.71000001</v>
      </c>
      <c r="L48" s="13">
        <f t="shared" ref="L48:Z48" si="21">SUM(L49:L61)</f>
        <v>10898179.220000001</v>
      </c>
      <c r="M48" s="13">
        <f t="shared" si="21"/>
        <v>26344736.050000001</v>
      </c>
      <c r="N48" s="13">
        <f t="shared" si="21"/>
        <v>3160411.37</v>
      </c>
      <c r="O48" s="13">
        <f t="shared" si="21"/>
        <v>61760556.069999993</v>
      </c>
      <c r="P48" s="40">
        <f t="shared" si="21"/>
        <v>103448522.25</v>
      </c>
      <c r="Q48" s="13">
        <f t="shared" si="21"/>
        <v>10898179.219999999</v>
      </c>
      <c r="R48" s="13">
        <f t="shared" si="21"/>
        <v>26344736.049999997</v>
      </c>
      <c r="S48" s="13">
        <f t="shared" si="21"/>
        <v>3160411.3699999996</v>
      </c>
      <c r="T48" s="13">
        <f t="shared" si="21"/>
        <v>63045195.609999992</v>
      </c>
      <c r="U48" s="40">
        <f t="shared" si="21"/>
        <v>56449896.810000002</v>
      </c>
      <c r="V48" s="13">
        <f t="shared" si="21"/>
        <v>10898179.220000001</v>
      </c>
      <c r="W48" s="13">
        <f t="shared" si="21"/>
        <v>26344736.050000001</v>
      </c>
      <c r="X48" s="13">
        <f t="shared" si="21"/>
        <v>3160411.37</v>
      </c>
      <c r="Y48" s="13">
        <f t="shared" si="21"/>
        <v>16046570.17</v>
      </c>
      <c r="Z48" s="40">
        <f t="shared" si="21"/>
        <v>1284639.54</v>
      </c>
      <c r="AA48" s="40">
        <f>SUM(AA49:AA61)</f>
        <v>46998625.439999998</v>
      </c>
    </row>
    <row r="49" spans="1:28" ht="63.75" hidden="1" customHeight="1" x14ac:dyDescent="0.25">
      <c r="A49" s="168" t="s">
        <v>72</v>
      </c>
      <c r="B49" s="1" t="s">
        <v>32</v>
      </c>
      <c r="C49" s="3">
        <v>310</v>
      </c>
      <c r="D49" s="25" t="s">
        <v>262</v>
      </c>
      <c r="E49" s="2">
        <v>118876369</v>
      </c>
      <c r="F49" s="98"/>
      <c r="G49" s="4">
        <v>17679693.350000001</v>
      </c>
      <c r="H49" s="7">
        <f t="shared" ref="H49:H58" si="22">E49-F49-G49</f>
        <v>101196675.65000001</v>
      </c>
      <c r="I49" s="129">
        <v>1761.37</v>
      </c>
      <c r="J49" s="36">
        <f>E49/I49</f>
        <v>67490.855981423549</v>
      </c>
      <c r="K49" s="41">
        <f>SUM(L49:O49)</f>
        <v>101196675.65000001</v>
      </c>
      <c r="L49" s="36">
        <v>10898179.220000001</v>
      </c>
      <c r="M49" s="36">
        <v>26344736.050000001</v>
      </c>
      <c r="N49" s="36">
        <v>3160411.37</v>
      </c>
      <c r="O49" s="36">
        <f>2860382+57932967.01</f>
        <v>60793349.009999998</v>
      </c>
      <c r="P49" s="41">
        <f>SUM(Q49:T49)</f>
        <v>101196675.64999999</v>
      </c>
      <c r="Q49" s="36">
        <f>15666392.52-4768213.3</f>
        <v>10898179.219999999</v>
      </c>
      <c r="R49" s="36">
        <f>37873664.08-11528928.03</f>
        <v>26344736.049999997</v>
      </c>
      <c r="S49" s="36">
        <f>4542963.39-1382552.02</f>
        <v>3160411.3699999996</v>
      </c>
      <c r="T49" s="36">
        <f>2860382+57932967.01</f>
        <v>60793349.009999998</v>
      </c>
      <c r="U49" s="46">
        <f>SUM(V49:Y49)</f>
        <v>56386676.57</v>
      </c>
      <c r="V49" s="36">
        <v>10898179.220000001</v>
      </c>
      <c r="W49" s="36">
        <v>26344736.050000001</v>
      </c>
      <c r="X49" s="36">
        <v>3160411.37</v>
      </c>
      <c r="Y49" s="129">
        <f>9677718.27+6305631.66</f>
        <v>15983349.93</v>
      </c>
      <c r="Z49" s="36">
        <f>S49-N49</f>
        <v>0</v>
      </c>
      <c r="AA49" s="36">
        <f>Z49+O49-Y49</f>
        <v>44809999.079999998</v>
      </c>
      <c r="AB49" s="50">
        <f>S49-N49+N49-X49+O49-Y49</f>
        <v>44809999.079999998</v>
      </c>
    </row>
    <row r="50" spans="1:28" ht="24" hidden="1" x14ac:dyDescent="0.25">
      <c r="A50" s="168" t="s">
        <v>73</v>
      </c>
      <c r="B50" s="3" t="s">
        <v>10</v>
      </c>
      <c r="C50" s="3">
        <v>226</v>
      </c>
      <c r="D50" s="25" t="s">
        <v>178</v>
      </c>
      <c r="E50" s="2">
        <v>5000</v>
      </c>
      <c r="F50" s="98">
        <v>5000</v>
      </c>
      <c r="G50" s="4"/>
      <c r="H50" s="7">
        <f t="shared" si="22"/>
        <v>0</v>
      </c>
      <c r="I50" s="2"/>
      <c r="J50" s="2"/>
      <c r="K50" s="41">
        <f t="shared" ref="K50:K60" si="23">SUM(L50:O50)</f>
        <v>0</v>
      </c>
      <c r="L50" s="2"/>
      <c r="M50" s="2"/>
      <c r="N50" s="2"/>
      <c r="O50" s="2"/>
      <c r="P50" s="41">
        <f t="shared" ref="P50:P61" si="24">SUM(Q50:T50)</f>
        <v>0</v>
      </c>
      <c r="Q50" s="2"/>
      <c r="R50" s="2"/>
      <c r="S50" s="2"/>
      <c r="T50" s="2"/>
      <c r="U50" s="46">
        <f t="shared" ref="U50:U61" si="25">SUM(V50:Y50)</f>
        <v>0</v>
      </c>
      <c r="V50" s="2"/>
      <c r="W50" s="2"/>
      <c r="X50" s="2"/>
      <c r="Y50" s="2"/>
      <c r="Z50" s="2"/>
      <c r="AA50" s="2"/>
    </row>
    <row r="51" spans="1:28" s="8" customFormat="1" ht="24" hidden="1" x14ac:dyDescent="0.25">
      <c r="A51" s="5" t="s">
        <v>74</v>
      </c>
      <c r="B51" s="1" t="s">
        <v>8</v>
      </c>
      <c r="C51" s="1">
        <v>226</v>
      </c>
      <c r="D51" s="25" t="s">
        <v>167</v>
      </c>
      <c r="E51" s="2">
        <v>7500</v>
      </c>
      <c r="F51" s="98"/>
      <c r="G51" s="4">
        <v>7500</v>
      </c>
      <c r="H51" s="7">
        <f t="shared" si="22"/>
        <v>0</v>
      </c>
      <c r="I51" s="2"/>
      <c r="J51" s="2"/>
      <c r="K51" s="41">
        <f t="shared" si="23"/>
        <v>0</v>
      </c>
      <c r="L51" s="2"/>
      <c r="M51" s="2"/>
      <c r="N51" s="2"/>
      <c r="O51" s="2"/>
      <c r="P51" s="41">
        <f t="shared" si="24"/>
        <v>0</v>
      </c>
      <c r="Q51" s="2"/>
      <c r="R51" s="2"/>
      <c r="S51" s="2"/>
      <c r="T51" s="2"/>
      <c r="U51" s="77">
        <f t="shared" si="25"/>
        <v>0</v>
      </c>
      <c r="V51" s="2"/>
      <c r="W51" s="2"/>
      <c r="X51" s="2"/>
      <c r="Y51" s="2"/>
      <c r="Z51" s="2"/>
      <c r="AA51" s="2"/>
    </row>
    <row r="52" spans="1:28" s="8" customFormat="1" ht="51.6" hidden="1" customHeight="1" x14ac:dyDescent="0.25">
      <c r="A52" s="5" t="s">
        <v>75</v>
      </c>
      <c r="B52" s="1" t="s">
        <v>1</v>
      </c>
      <c r="C52" s="1">
        <v>226</v>
      </c>
      <c r="D52" s="28" t="s">
        <v>165</v>
      </c>
      <c r="E52" s="2">
        <v>188112.69</v>
      </c>
      <c r="F52" s="98">
        <v>188112.69</v>
      </c>
      <c r="G52" s="4"/>
      <c r="H52" s="7">
        <f t="shared" si="22"/>
        <v>0</v>
      </c>
      <c r="I52" s="2"/>
      <c r="J52" s="2"/>
      <c r="K52" s="41">
        <f t="shared" si="23"/>
        <v>0</v>
      </c>
      <c r="L52" s="2"/>
      <c r="M52" s="2"/>
      <c r="N52" s="2"/>
      <c r="O52" s="2"/>
      <c r="P52" s="41">
        <f t="shared" si="24"/>
        <v>0</v>
      </c>
      <c r="Q52" s="2"/>
      <c r="R52" s="2"/>
      <c r="S52" s="2"/>
      <c r="T52" s="2"/>
      <c r="U52" s="77">
        <f t="shared" si="25"/>
        <v>0</v>
      </c>
      <c r="V52" s="2"/>
      <c r="W52" s="2"/>
      <c r="X52" s="2"/>
      <c r="Y52" s="2"/>
      <c r="Z52" s="2"/>
      <c r="AA52" s="2"/>
    </row>
    <row r="53" spans="1:28" s="8" customFormat="1" ht="26.45" hidden="1" customHeight="1" x14ac:dyDescent="0.25">
      <c r="A53" s="5" t="s">
        <v>76</v>
      </c>
      <c r="B53" s="1" t="s">
        <v>1</v>
      </c>
      <c r="C53" s="1">
        <v>226</v>
      </c>
      <c r="D53" s="25" t="s">
        <v>180</v>
      </c>
      <c r="E53" s="2">
        <v>19644.400000000001</v>
      </c>
      <c r="F53" s="98"/>
      <c r="G53" s="4">
        <v>19644.400000000001</v>
      </c>
      <c r="H53" s="7">
        <f t="shared" si="22"/>
        <v>0</v>
      </c>
      <c r="I53" s="2"/>
      <c r="J53" s="2"/>
      <c r="K53" s="41">
        <f t="shared" si="23"/>
        <v>0</v>
      </c>
      <c r="L53" s="2"/>
      <c r="M53" s="2"/>
      <c r="N53" s="2"/>
      <c r="O53" s="2"/>
      <c r="P53" s="41">
        <f t="shared" si="24"/>
        <v>0</v>
      </c>
      <c r="Q53" s="2"/>
      <c r="R53" s="2"/>
      <c r="S53" s="2"/>
      <c r="T53" s="2"/>
      <c r="U53" s="77">
        <f t="shared" si="25"/>
        <v>0</v>
      </c>
      <c r="V53" s="2"/>
      <c r="W53" s="2"/>
      <c r="X53" s="2"/>
      <c r="Y53" s="2"/>
      <c r="Z53" s="2"/>
      <c r="AA53" s="2"/>
    </row>
    <row r="54" spans="1:28" s="8" customFormat="1" ht="36" hidden="1" x14ac:dyDescent="0.25">
      <c r="A54" s="5" t="s">
        <v>77</v>
      </c>
      <c r="B54" s="1" t="s">
        <v>11</v>
      </c>
      <c r="C54" s="1">
        <v>226</v>
      </c>
      <c r="D54" s="25" t="s">
        <v>124</v>
      </c>
      <c r="E54" s="2">
        <v>1524947.4</v>
      </c>
      <c r="F54" s="98"/>
      <c r="G54" s="4">
        <v>1524947.4</v>
      </c>
      <c r="H54" s="7">
        <f t="shared" si="22"/>
        <v>0</v>
      </c>
      <c r="I54" s="2"/>
      <c r="J54" s="2"/>
      <c r="K54" s="41">
        <f t="shared" si="23"/>
        <v>0</v>
      </c>
      <c r="L54" s="2"/>
      <c r="M54" s="2"/>
      <c r="N54" s="2"/>
      <c r="O54" s="2"/>
      <c r="P54" s="41">
        <f t="shared" si="24"/>
        <v>0</v>
      </c>
      <c r="Q54" s="2"/>
      <c r="R54" s="2"/>
      <c r="S54" s="2"/>
      <c r="T54" s="2"/>
      <c r="U54" s="77">
        <f t="shared" si="25"/>
        <v>0</v>
      </c>
      <c r="V54" s="2"/>
      <c r="W54" s="2"/>
      <c r="X54" s="2"/>
      <c r="Y54" s="2"/>
      <c r="Z54" s="2"/>
      <c r="AA54" s="2"/>
    </row>
    <row r="55" spans="1:28" s="65" customFormat="1" ht="24" hidden="1" x14ac:dyDescent="0.25">
      <c r="A55" s="60" t="s">
        <v>78</v>
      </c>
      <c r="B55" s="61" t="s">
        <v>20</v>
      </c>
      <c r="C55" s="61">
        <v>226</v>
      </c>
      <c r="D55" s="66" t="s">
        <v>127</v>
      </c>
      <c r="E55" s="7">
        <v>201485.37</v>
      </c>
      <c r="F55" s="98"/>
      <c r="G55" s="4">
        <v>19577.61</v>
      </c>
      <c r="H55" s="7">
        <f t="shared" si="22"/>
        <v>181907.76</v>
      </c>
      <c r="I55" s="7"/>
      <c r="J55" s="7"/>
      <c r="K55" s="63">
        <f t="shared" si="23"/>
        <v>181907.76</v>
      </c>
      <c r="L55" s="7"/>
      <c r="M55" s="7"/>
      <c r="N55" s="7"/>
      <c r="O55" s="7">
        <v>181907.76</v>
      </c>
      <c r="P55" s="63">
        <f t="shared" si="24"/>
        <v>181907.76</v>
      </c>
      <c r="Q55" s="7"/>
      <c r="R55" s="7"/>
      <c r="S55" s="7"/>
      <c r="T55" s="7">
        <v>181907.76</v>
      </c>
      <c r="U55" s="64">
        <f t="shared" si="25"/>
        <v>63220.24</v>
      </c>
      <c r="V55" s="7"/>
      <c r="W55" s="7"/>
      <c r="X55" s="7"/>
      <c r="Y55" s="7">
        <v>63220.24</v>
      </c>
      <c r="Z55" s="7">
        <f t="shared" ref="Z55:Z61" si="26">T55-O55</f>
        <v>0</v>
      </c>
      <c r="AA55" s="7">
        <f>O55-Y55</f>
        <v>118687.52000000002</v>
      </c>
    </row>
    <row r="56" spans="1:28" ht="24" hidden="1" x14ac:dyDescent="0.25">
      <c r="A56" s="168" t="s">
        <v>79</v>
      </c>
      <c r="B56" s="3" t="s">
        <v>12</v>
      </c>
      <c r="C56" s="3">
        <v>226</v>
      </c>
      <c r="D56" s="25" t="s">
        <v>139</v>
      </c>
      <c r="E56" s="2">
        <v>635026.84</v>
      </c>
      <c r="F56" s="98"/>
      <c r="G56" s="4">
        <v>190508.05</v>
      </c>
      <c r="H56" s="7">
        <f t="shared" si="22"/>
        <v>444518.79</v>
      </c>
      <c r="I56" s="2"/>
      <c r="J56" s="2"/>
      <c r="K56" s="41">
        <f t="shared" si="23"/>
        <v>0</v>
      </c>
      <c r="L56" s="2"/>
      <c r="M56" s="2"/>
      <c r="N56" s="2"/>
      <c r="O56" s="2"/>
      <c r="P56" s="41">
        <f t="shared" si="24"/>
        <v>444518.79</v>
      </c>
      <c r="Q56" s="2"/>
      <c r="R56" s="2"/>
      <c r="S56" s="2"/>
      <c r="T56" s="2">
        <v>444518.79</v>
      </c>
      <c r="U56" s="46">
        <f t="shared" si="25"/>
        <v>0</v>
      </c>
      <c r="V56" s="2"/>
      <c r="W56" s="2"/>
      <c r="X56" s="2"/>
      <c r="Y56" s="2"/>
      <c r="Z56" s="2">
        <f t="shared" si="26"/>
        <v>444518.79</v>
      </c>
      <c r="AA56" s="2">
        <f>T56-Y56</f>
        <v>444518.79</v>
      </c>
    </row>
    <row r="57" spans="1:28" ht="24" hidden="1" x14ac:dyDescent="0.25">
      <c r="A57" s="168" t="s">
        <v>80</v>
      </c>
      <c r="B57" s="3" t="s">
        <v>13</v>
      </c>
      <c r="C57" s="3">
        <v>226</v>
      </c>
      <c r="D57" s="26" t="s">
        <v>147</v>
      </c>
      <c r="E57" s="2">
        <v>1147182.98</v>
      </c>
      <c r="F57" s="98"/>
      <c r="G57" s="4">
        <v>745668.94</v>
      </c>
      <c r="H57" s="7">
        <f t="shared" si="22"/>
        <v>401514.04000000004</v>
      </c>
      <c r="I57" s="2"/>
      <c r="J57" s="2"/>
      <c r="K57" s="41">
        <f t="shared" si="23"/>
        <v>0</v>
      </c>
      <c r="L57" s="2"/>
      <c r="M57" s="2"/>
      <c r="N57" s="2"/>
      <c r="O57" s="2"/>
      <c r="P57" s="41">
        <f t="shared" si="24"/>
        <v>401514.04</v>
      </c>
      <c r="Q57" s="2"/>
      <c r="R57" s="2"/>
      <c r="S57" s="2"/>
      <c r="T57" s="2">
        <v>401514.04</v>
      </c>
      <c r="U57" s="46">
        <f t="shared" si="25"/>
        <v>0</v>
      </c>
      <c r="V57" s="2"/>
      <c r="W57" s="2"/>
      <c r="X57" s="2"/>
      <c r="Y57" s="2"/>
      <c r="Z57" s="2">
        <f t="shared" si="26"/>
        <v>401514.04</v>
      </c>
      <c r="AA57" s="2">
        <f>T57-Y57</f>
        <v>401514.04</v>
      </c>
    </row>
    <row r="58" spans="1:28" s="8" customFormat="1" ht="24" hidden="1" x14ac:dyDescent="0.25">
      <c r="A58" s="5" t="s">
        <v>81</v>
      </c>
      <c r="B58" s="1" t="s">
        <v>15</v>
      </c>
      <c r="C58" s="1">
        <v>226</v>
      </c>
      <c r="D58" s="28" t="s">
        <v>152</v>
      </c>
      <c r="E58" s="2">
        <v>1249622.03</v>
      </c>
      <c r="F58" s="98"/>
      <c r="G58" s="4">
        <v>812254.32</v>
      </c>
      <c r="H58" s="7">
        <f t="shared" si="22"/>
        <v>437367.71000000008</v>
      </c>
      <c r="I58" s="2"/>
      <c r="J58" s="2"/>
      <c r="K58" s="41">
        <f t="shared" si="23"/>
        <v>0</v>
      </c>
      <c r="L58" s="2"/>
      <c r="M58" s="2"/>
      <c r="N58" s="2"/>
      <c r="O58" s="2"/>
      <c r="P58" s="41">
        <f t="shared" si="24"/>
        <v>437367.71</v>
      </c>
      <c r="Q58" s="2"/>
      <c r="R58" s="2"/>
      <c r="S58" s="2"/>
      <c r="T58" s="2">
        <v>437367.71</v>
      </c>
      <c r="U58" s="77">
        <f t="shared" si="25"/>
        <v>0</v>
      </c>
      <c r="V58" s="2"/>
      <c r="W58" s="2"/>
      <c r="X58" s="2"/>
      <c r="Y58" s="2"/>
      <c r="Z58" s="2">
        <f t="shared" si="26"/>
        <v>437367.71</v>
      </c>
      <c r="AA58" s="2">
        <f>T58-Y58</f>
        <v>437367.71</v>
      </c>
    </row>
    <row r="59" spans="1:28" s="65" customFormat="1" ht="24" hidden="1" x14ac:dyDescent="0.25">
      <c r="A59" s="60" t="s">
        <v>82</v>
      </c>
      <c r="B59" s="61" t="s">
        <v>14</v>
      </c>
      <c r="C59" s="61">
        <v>226</v>
      </c>
      <c r="D59" s="66" t="s">
        <v>231</v>
      </c>
      <c r="E59" s="7">
        <v>2063568.95</v>
      </c>
      <c r="F59" s="98"/>
      <c r="G59" s="4">
        <v>1341319.81</v>
      </c>
      <c r="H59" s="7">
        <f>E59-F59-G59</f>
        <v>722249.1399999999</v>
      </c>
      <c r="I59" s="7"/>
      <c r="J59" s="7"/>
      <c r="K59" s="63">
        <f t="shared" si="23"/>
        <v>722249.14</v>
      </c>
      <c r="L59" s="7"/>
      <c r="M59" s="7"/>
      <c r="N59" s="7"/>
      <c r="O59" s="7">
        <v>722249.14</v>
      </c>
      <c r="P59" s="63">
        <f t="shared" si="24"/>
        <v>722249.14</v>
      </c>
      <c r="Q59" s="7"/>
      <c r="R59" s="7"/>
      <c r="S59" s="7"/>
      <c r="T59" s="7">
        <v>722249.14</v>
      </c>
      <c r="U59" s="64">
        <f t="shared" si="25"/>
        <v>0</v>
      </c>
      <c r="V59" s="7"/>
      <c r="W59" s="7"/>
      <c r="X59" s="7"/>
      <c r="Y59" s="7">
        <v>0</v>
      </c>
      <c r="Z59" s="7">
        <f t="shared" si="26"/>
        <v>0</v>
      </c>
      <c r="AA59" s="7">
        <f>O59</f>
        <v>722249.14</v>
      </c>
    </row>
    <row r="60" spans="1:28" s="65" customFormat="1" ht="78.75" hidden="1" x14ac:dyDescent="0.25">
      <c r="A60" s="60" t="s">
        <v>212</v>
      </c>
      <c r="B60" s="61" t="s">
        <v>208</v>
      </c>
      <c r="C60" s="61">
        <v>226</v>
      </c>
      <c r="D60" s="66" t="s">
        <v>213</v>
      </c>
      <c r="E60" s="7">
        <v>63050.16</v>
      </c>
      <c r="F60" s="98"/>
      <c r="G60" s="4"/>
      <c r="H60" s="7">
        <f>E60-F60-G60</f>
        <v>63050.16</v>
      </c>
      <c r="I60" s="7"/>
      <c r="J60" s="7"/>
      <c r="K60" s="63">
        <f t="shared" si="23"/>
        <v>63050.16</v>
      </c>
      <c r="L60" s="7"/>
      <c r="M60" s="7"/>
      <c r="N60" s="7"/>
      <c r="O60" s="7">
        <v>63050.16</v>
      </c>
      <c r="P60" s="63">
        <f t="shared" si="24"/>
        <v>63050.16</v>
      </c>
      <c r="Q60" s="7"/>
      <c r="R60" s="7"/>
      <c r="S60" s="7"/>
      <c r="T60" s="7">
        <v>63050.16</v>
      </c>
      <c r="U60" s="64">
        <f t="shared" si="25"/>
        <v>0</v>
      </c>
      <c r="V60" s="7"/>
      <c r="W60" s="7"/>
      <c r="X60" s="7"/>
      <c r="Y60" s="7">
        <v>0</v>
      </c>
      <c r="Z60" s="7">
        <f t="shared" si="26"/>
        <v>0</v>
      </c>
      <c r="AA60" s="7">
        <f>O60</f>
        <v>63050.16</v>
      </c>
    </row>
    <row r="61" spans="1:28" s="65" customFormat="1" ht="48.75" hidden="1" customHeight="1" x14ac:dyDescent="0.25">
      <c r="A61" s="60" t="s">
        <v>253</v>
      </c>
      <c r="B61" s="68" t="s">
        <v>248</v>
      </c>
      <c r="C61" s="68">
        <v>226</v>
      </c>
      <c r="D61" s="121" t="s">
        <v>308</v>
      </c>
      <c r="E61" s="7">
        <v>1239</v>
      </c>
      <c r="F61" s="98"/>
      <c r="G61" s="4"/>
      <c r="H61" s="7">
        <f>E61-F61-G61</f>
        <v>1239</v>
      </c>
      <c r="I61" s="7"/>
      <c r="J61" s="7"/>
      <c r="K61" s="63">
        <f>SUM(L61:O61)</f>
        <v>0</v>
      </c>
      <c r="L61" s="7"/>
      <c r="M61" s="7"/>
      <c r="N61" s="7"/>
      <c r="O61" s="7"/>
      <c r="P61" s="63">
        <f t="shared" si="24"/>
        <v>1239</v>
      </c>
      <c r="Q61" s="7"/>
      <c r="R61" s="7"/>
      <c r="S61" s="7"/>
      <c r="T61" s="7">
        <v>1239</v>
      </c>
      <c r="U61" s="64">
        <f t="shared" si="25"/>
        <v>0</v>
      </c>
      <c r="V61" s="7"/>
      <c r="W61" s="7"/>
      <c r="X61" s="7"/>
      <c r="Y61" s="7">
        <v>0</v>
      </c>
      <c r="Z61" s="7">
        <f t="shared" si="26"/>
        <v>1239</v>
      </c>
      <c r="AA61" s="7">
        <f>T61-O61</f>
        <v>1239</v>
      </c>
    </row>
    <row r="62" spans="1:28" s="14" customFormat="1" hidden="1" x14ac:dyDescent="0.25">
      <c r="A62" s="11" t="s">
        <v>38</v>
      </c>
      <c r="B62" s="12" t="s">
        <v>4</v>
      </c>
      <c r="C62" s="12"/>
      <c r="D62" s="12"/>
      <c r="E62" s="13">
        <f>SUM(E63:E75)</f>
        <v>94503562.919999987</v>
      </c>
      <c r="F62" s="102">
        <f>SUM(F63:F75)</f>
        <v>193112.71</v>
      </c>
      <c r="G62" s="83">
        <f>SUM(G63:G75)</f>
        <v>12900728.83</v>
      </c>
      <c r="H62" s="89">
        <f>SUM(H63:H75)</f>
        <v>81409721.379999995</v>
      </c>
      <c r="I62" s="128">
        <v>1485.68</v>
      </c>
      <c r="J62" s="13">
        <f>E62/I62</f>
        <v>63609.635264659941</v>
      </c>
      <c r="K62" s="40">
        <f>SUM(K63:K75)</f>
        <v>80381693.340000004</v>
      </c>
      <c r="L62" s="13">
        <f t="shared" ref="L62:Z62" si="27">SUM(L63:L75)</f>
        <v>10590571.779999999</v>
      </c>
      <c r="M62" s="13">
        <f t="shared" si="27"/>
        <v>25601938.489999998</v>
      </c>
      <c r="N62" s="13">
        <f t="shared" si="27"/>
        <v>2927700.83</v>
      </c>
      <c r="O62" s="13">
        <f t="shared" si="27"/>
        <v>41261482.239999995</v>
      </c>
      <c r="P62" s="40">
        <f t="shared" si="27"/>
        <v>81409721.38000001</v>
      </c>
      <c r="Q62" s="13">
        <f t="shared" si="27"/>
        <v>10590571.780000001</v>
      </c>
      <c r="R62" s="13">
        <f t="shared" si="27"/>
        <v>25601938.490000002</v>
      </c>
      <c r="S62" s="13">
        <f t="shared" si="27"/>
        <v>3071141.46</v>
      </c>
      <c r="T62" s="13">
        <f t="shared" si="27"/>
        <v>42146069.649999991</v>
      </c>
      <c r="U62" s="40">
        <f t="shared" si="27"/>
        <v>32586886.199999999</v>
      </c>
      <c r="V62" s="13">
        <f t="shared" si="27"/>
        <v>8778543.3800000008</v>
      </c>
      <c r="W62" s="13">
        <f t="shared" si="27"/>
        <v>21225391.690000001</v>
      </c>
      <c r="X62" s="13">
        <f t="shared" si="27"/>
        <v>2545354.4500000002</v>
      </c>
      <c r="Y62" s="13">
        <f t="shared" si="27"/>
        <v>37596.68</v>
      </c>
      <c r="Z62" s="40">
        <f t="shared" si="27"/>
        <v>1028028.0399999998</v>
      </c>
      <c r="AA62" s="40">
        <f>SUM(AA63:AA75)</f>
        <v>42634259.979999989</v>
      </c>
    </row>
    <row r="63" spans="1:28" ht="63.75" hidden="1" customHeight="1" x14ac:dyDescent="0.25">
      <c r="A63" s="168" t="s">
        <v>83</v>
      </c>
      <c r="B63" s="1" t="s">
        <v>32</v>
      </c>
      <c r="C63" s="3">
        <v>310</v>
      </c>
      <c r="D63" s="25" t="s">
        <v>263</v>
      </c>
      <c r="E63" s="2">
        <v>88812983.599999994</v>
      </c>
      <c r="F63" s="98"/>
      <c r="G63" s="4">
        <v>8996428.2799999993</v>
      </c>
      <c r="H63" s="7">
        <f t="shared" ref="H63:H72" si="28">E63-F63-G63</f>
        <v>79816555.319999993</v>
      </c>
      <c r="I63" s="129">
        <v>1485.68</v>
      </c>
      <c r="J63" s="36">
        <f>E63/I63</f>
        <v>59779.34925421355</v>
      </c>
      <c r="K63" s="41">
        <f>SUM(L63:O63)</f>
        <v>79673114.689999998</v>
      </c>
      <c r="L63" s="36">
        <v>10590571.779999999</v>
      </c>
      <c r="M63" s="36">
        <v>25601938.489999998</v>
      </c>
      <c r="N63" s="129">
        <v>2927700.83</v>
      </c>
      <c r="O63" s="36">
        <f>3144448+37408455.59</f>
        <v>40552903.590000004</v>
      </c>
      <c r="P63" s="41">
        <f>SUM(Q63:T63)</f>
        <v>79816555.320000008</v>
      </c>
      <c r="Q63" s="36">
        <f>13016908.49-2426336.71</f>
        <v>10590571.780000001</v>
      </c>
      <c r="R63" s="36">
        <f>31468509.37-5866570.88</f>
        <v>25601938.490000002</v>
      </c>
      <c r="S63" s="36">
        <f>3774662.15-703520.69</f>
        <v>3071141.46</v>
      </c>
      <c r="T63" s="36">
        <f>3144448+37408455.59</f>
        <v>40552903.590000004</v>
      </c>
      <c r="U63" s="46">
        <f>SUM(V63:Y63)</f>
        <v>32549289.52</v>
      </c>
      <c r="V63" s="36">
        <v>8778543.3800000008</v>
      </c>
      <c r="W63" s="36">
        <v>21225391.690000001</v>
      </c>
      <c r="X63" s="36">
        <v>2545354.4500000002</v>
      </c>
      <c r="Y63" s="36">
        <v>0</v>
      </c>
      <c r="Z63" s="36">
        <f>S63-N63</f>
        <v>143440.62999999989</v>
      </c>
      <c r="AA63" s="36">
        <f>Z63+N63-X63+O63</f>
        <v>41078690.600000001</v>
      </c>
      <c r="AB63" s="50">
        <f>S63-N63+N63-X63+O63-Y63</f>
        <v>41078690.600000001</v>
      </c>
    </row>
    <row r="64" spans="1:28" ht="24" hidden="1" x14ac:dyDescent="0.25">
      <c r="A64" s="168" t="s">
        <v>84</v>
      </c>
      <c r="B64" s="3" t="s">
        <v>10</v>
      </c>
      <c r="C64" s="3">
        <v>226</v>
      </c>
      <c r="D64" s="25" t="s">
        <v>178</v>
      </c>
      <c r="E64" s="2">
        <v>5000</v>
      </c>
      <c r="F64" s="98">
        <v>5000</v>
      </c>
      <c r="G64" s="4"/>
      <c r="H64" s="7">
        <f t="shared" si="28"/>
        <v>0</v>
      </c>
      <c r="I64" s="2"/>
      <c r="J64" s="2"/>
      <c r="K64" s="41">
        <f t="shared" ref="K64:K74" si="29">SUM(L64:O64)</f>
        <v>0</v>
      </c>
      <c r="L64" s="2"/>
      <c r="M64" s="2"/>
      <c r="N64" s="2"/>
      <c r="O64" s="2"/>
      <c r="P64" s="41">
        <f t="shared" ref="P64:P75" si="30">SUM(Q64:T64)</f>
        <v>0</v>
      </c>
      <c r="Q64" s="2"/>
      <c r="R64" s="2"/>
      <c r="S64" s="2"/>
      <c r="T64" s="2"/>
      <c r="U64" s="46">
        <f t="shared" ref="U64:U75" si="31">SUM(V64:Y64)</f>
        <v>0</v>
      </c>
      <c r="V64" s="2"/>
      <c r="W64" s="2"/>
      <c r="X64" s="2"/>
      <c r="Y64" s="2"/>
      <c r="Z64" s="2"/>
      <c r="AA64" s="2"/>
    </row>
    <row r="65" spans="1:28" s="8" customFormat="1" ht="24" hidden="1" x14ac:dyDescent="0.25">
      <c r="A65" s="5" t="s">
        <v>85</v>
      </c>
      <c r="B65" s="1" t="s">
        <v>8</v>
      </c>
      <c r="C65" s="1">
        <v>226</v>
      </c>
      <c r="D65" s="25" t="s">
        <v>167</v>
      </c>
      <c r="E65" s="2">
        <v>7500</v>
      </c>
      <c r="F65" s="98"/>
      <c r="G65" s="4">
        <v>7500</v>
      </c>
      <c r="H65" s="7">
        <f t="shared" si="28"/>
        <v>0</v>
      </c>
      <c r="I65" s="2"/>
      <c r="J65" s="2"/>
      <c r="K65" s="41">
        <f t="shared" si="29"/>
        <v>0</v>
      </c>
      <c r="L65" s="2"/>
      <c r="M65" s="2"/>
      <c r="N65" s="2"/>
      <c r="O65" s="2"/>
      <c r="P65" s="41">
        <f t="shared" si="30"/>
        <v>0</v>
      </c>
      <c r="Q65" s="2"/>
      <c r="R65" s="2"/>
      <c r="S65" s="2"/>
      <c r="T65" s="2"/>
      <c r="U65" s="77">
        <f t="shared" si="31"/>
        <v>0</v>
      </c>
      <c r="V65" s="2"/>
      <c r="W65" s="2"/>
      <c r="X65" s="2"/>
      <c r="Y65" s="2"/>
      <c r="Z65" s="2"/>
      <c r="AA65" s="2"/>
    </row>
    <row r="66" spans="1:28" s="8" customFormat="1" ht="49.9" hidden="1" customHeight="1" x14ac:dyDescent="0.25">
      <c r="A66" s="5" t="s">
        <v>86</v>
      </c>
      <c r="B66" s="1" t="s">
        <v>1</v>
      </c>
      <c r="C66" s="1">
        <v>226</v>
      </c>
      <c r="D66" s="28" t="s">
        <v>165</v>
      </c>
      <c r="E66" s="2">
        <v>188112.71</v>
      </c>
      <c r="F66" s="98">
        <v>188112.71</v>
      </c>
      <c r="G66" s="4"/>
      <c r="H66" s="7">
        <f t="shared" si="28"/>
        <v>0</v>
      </c>
      <c r="I66" s="2"/>
      <c r="J66" s="2"/>
      <c r="K66" s="41">
        <f t="shared" si="29"/>
        <v>0</v>
      </c>
      <c r="L66" s="2"/>
      <c r="M66" s="2"/>
      <c r="N66" s="2"/>
      <c r="O66" s="2"/>
      <c r="P66" s="41">
        <f t="shared" si="30"/>
        <v>0</v>
      </c>
      <c r="Q66" s="2"/>
      <c r="R66" s="2"/>
      <c r="S66" s="2"/>
      <c r="T66" s="2"/>
      <c r="U66" s="77">
        <f t="shared" si="31"/>
        <v>0</v>
      </c>
      <c r="V66" s="2"/>
      <c r="W66" s="2"/>
      <c r="X66" s="2"/>
      <c r="Y66" s="2"/>
      <c r="Z66" s="2"/>
      <c r="AA66" s="2"/>
    </row>
    <row r="67" spans="1:28" s="8" customFormat="1" ht="26.45" hidden="1" customHeight="1" x14ac:dyDescent="0.25">
      <c r="A67" s="5" t="s">
        <v>87</v>
      </c>
      <c r="B67" s="1" t="s">
        <v>1</v>
      </c>
      <c r="C67" s="1">
        <v>226</v>
      </c>
      <c r="D67" s="25" t="s">
        <v>180</v>
      </c>
      <c r="E67" s="2">
        <v>19644.419999999998</v>
      </c>
      <c r="F67" s="98"/>
      <c r="G67" s="4">
        <v>19644.419999999998</v>
      </c>
      <c r="H67" s="7">
        <f t="shared" si="28"/>
        <v>0</v>
      </c>
      <c r="I67" s="2"/>
      <c r="J67" s="2"/>
      <c r="K67" s="41">
        <f t="shared" si="29"/>
        <v>0</v>
      </c>
      <c r="L67" s="2"/>
      <c r="M67" s="2"/>
      <c r="N67" s="2"/>
      <c r="O67" s="2"/>
      <c r="P67" s="41">
        <f t="shared" si="30"/>
        <v>0</v>
      </c>
      <c r="Q67" s="2"/>
      <c r="R67" s="2"/>
      <c r="S67" s="2"/>
      <c r="T67" s="2"/>
      <c r="U67" s="77">
        <f t="shared" si="31"/>
        <v>0</v>
      </c>
      <c r="V67" s="2"/>
      <c r="W67" s="2"/>
      <c r="X67" s="2"/>
      <c r="Y67" s="2"/>
      <c r="Z67" s="2"/>
      <c r="AA67" s="2"/>
    </row>
    <row r="68" spans="1:28" s="8" customFormat="1" ht="36" hidden="1" x14ac:dyDescent="0.25">
      <c r="A68" s="5" t="s">
        <v>88</v>
      </c>
      <c r="B68" s="1" t="s">
        <v>11</v>
      </c>
      <c r="C68" s="1">
        <v>226</v>
      </c>
      <c r="D68" s="25" t="s">
        <v>124</v>
      </c>
      <c r="E68" s="2">
        <v>1470952.6</v>
      </c>
      <c r="F68" s="98"/>
      <c r="G68" s="4">
        <v>1470952.6</v>
      </c>
      <c r="H68" s="7">
        <f t="shared" si="28"/>
        <v>0</v>
      </c>
      <c r="I68" s="2"/>
      <c r="J68" s="2"/>
      <c r="K68" s="41">
        <f t="shared" si="29"/>
        <v>0</v>
      </c>
      <c r="L68" s="2"/>
      <c r="M68" s="2"/>
      <c r="N68" s="2"/>
      <c r="O68" s="2"/>
      <c r="P68" s="41">
        <f t="shared" si="30"/>
        <v>0</v>
      </c>
      <c r="Q68" s="2"/>
      <c r="R68" s="2"/>
      <c r="S68" s="2"/>
      <c r="T68" s="2"/>
      <c r="U68" s="77">
        <f t="shared" si="31"/>
        <v>0</v>
      </c>
      <c r="V68" s="2"/>
      <c r="W68" s="2"/>
      <c r="X68" s="2"/>
      <c r="Y68" s="2"/>
      <c r="Z68" s="2"/>
      <c r="AA68" s="2"/>
    </row>
    <row r="69" spans="1:28" s="65" customFormat="1" ht="24" hidden="1" x14ac:dyDescent="0.25">
      <c r="A69" s="60" t="s">
        <v>89</v>
      </c>
      <c r="B69" s="61" t="s">
        <v>20</v>
      </c>
      <c r="C69" s="61">
        <v>226</v>
      </c>
      <c r="D69" s="66" t="s">
        <v>128</v>
      </c>
      <c r="E69" s="7">
        <v>150530.48000000001</v>
      </c>
      <c r="F69" s="98"/>
      <c r="G69" s="4">
        <v>9813.7199999999993</v>
      </c>
      <c r="H69" s="7">
        <f t="shared" si="28"/>
        <v>140716.76</v>
      </c>
      <c r="I69" s="7"/>
      <c r="J69" s="7"/>
      <c r="K69" s="63">
        <f t="shared" si="29"/>
        <v>140716.76</v>
      </c>
      <c r="L69" s="7"/>
      <c r="M69" s="7"/>
      <c r="N69" s="7"/>
      <c r="O69" s="7">
        <v>140716.76</v>
      </c>
      <c r="P69" s="63">
        <f t="shared" si="30"/>
        <v>140716.76</v>
      </c>
      <c r="Q69" s="7"/>
      <c r="R69" s="7"/>
      <c r="S69" s="7"/>
      <c r="T69" s="7">
        <v>140716.76</v>
      </c>
      <c r="U69" s="64">
        <f t="shared" si="31"/>
        <v>37596.68</v>
      </c>
      <c r="V69" s="7"/>
      <c r="W69" s="7"/>
      <c r="X69" s="7"/>
      <c r="Y69" s="7">
        <v>37596.68</v>
      </c>
      <c r="Z69" s="7">
        <f t="shared" ref="Z69:Z75" si="32">T69-O69</f>
        <v>0</v>
      </c>
      <c r="AA69" s="7">
        <f>O69-Y69</f>
        <v>103120.08000000002</v>
      </c>
    </row>
    <row r="70" spans="1:28" ht="24" hidden="1" x14ac:dyDescent="0.25">
      <c r="A70" s="168" t="s">
        <v>90</v>
      </c>
      <c r="B70" s="3" t="s">
        <v>12</v>
      </c>
      <c r="C70" s="3">
        <v>226</v>
      </c>
      <c r="D70" s="25" t="s">
        <v>140</v>
      </c>
      <c r="E70" s="2">
        <v>190961.9</v>
      </c>
      <c r="F70" s="98"/>
      <c r="G70" s="4">
        <v>57288.57</v>
      </c>
      <c r="H70" s="7">
        <f t="shared" si="28"/>
        <v>133673.32999999999</v>
      </c>
      <c r="I70" s="2"/>
      <c r="J70" s="2"/>
      <c r="K70" s="41">
        <f t="shared" si="29"/>
        <v>0</v>
      </c>
      <c r="L70" s="2"/>
      <c r="M70" s="2"/>
      <c r="N70" s="2"/>
      <c r="O70" s="2"/>
      <c r="P70" s="41">
        <f t="shared" si="30"/>
        <v>133673.32999999999</v>
      </c>
      <c r="Q70" s="2"/>
      <c r="R70" s="2"/>
      <c r="S70" s="2"/>
      <c r="T70" s="2">
        <v>133673.32999999999</v>
      </c>
      <c r="U70" s="46">
        <f t="shared" si="31"/>
        <v>0</v>
      </c>
      <c r="V70" s="2"/>
      <c r="W70" s="2"/>
      <c r="X70" s="2"/>
      <c r="Y70" s="2"/>
      <c r="Z70" s="2">
        <f t="shared" si="32"/>
        <v>133673.32999999999</v>
      </c>
      <c r="AA70" s="2">
        <f>T70-Y70</f>
        <v>133673.32999999999</v>
      </c>
    </row>
    <row r="71" spans="1:28" ht="24" hidden="1" x14ac:dyDescent="0.25">
      <c r="A71" s="168" t="s">
        <v>91</v>
      </c>
      <c r="B71" s="3" t="s">
        <v>13</v>
      </c>
      <c r="C71" s="3">
        <v>226</v>
      </c>
      <c r="D71" s="26" t="s">
        <v>145</v>
      </c>
      <c r="E71" s="2">
        <v>1024528.19</v>
      </c>
      <c r="F71" s="98"/>
      <c r="G71" s="4">
        <v>665943.31999999995</v>
      </c>
      <c r="H71" s="7">
        <f t="shared" si="28"/>
        <v>358584.87</v>
      </c>
      <c r="I71" s="2"/>
      <c r="J71" s="2"/>
      <c r="K71" s="41">
        <f t="shared" si="29"/>
        <v>0</v>
      </c>
      <c r="L71" s="2"/>
      <c r="M71" s="2"/>
      <c r="N71" s="2"/>
      <c r="O71" s="2"/>
      <c r="P71" s="41">
        <f t="shared" si="30"/>
        <v>358584.87</v>
      </c>
      <c r="Q71" s="2"/>
      <c r="R71" s="2"/>
      <c r="S71" s="2"/>
      <c r="T71" s="2">
        <v>358584.87</v>
      </c>
      <c r="U71" s="46">
        <f t="shared" si="31"/>
        <v>0</v>
      </c>
      <c r="V71" s="2"/>
      <c r="W71" s="2"/>
      <c r="X71" s="2"/>
      <c r="Y71" s="2"/>
      <c r="Z71" s="2">
        <f t="shared" si="32"/>
        <v>358584.87</v>
      </c>
      <c r="AA71" s="2">
        <f>T71-Y71</f>
        <v>358584.87</v>
      </c>
    </row>
    <row r="72" spans="1:28" ht="24" hidden="1" x14ac:dyDescent="0.25">
      <c r="A72" s="168" t="s">
        <v>92</v>
      </c>
      <c r="B72" s="3" t="s">
        <v>15</v>
      </c>
      <c r="C72" s="3">
        <v>226</v>
      </c>
      <c r="D72" s="27" t="s">
        <v>151</v>
      </c>
      <c r="E72" s="2">
        <v>1117400.6100000001</v>
      </c>
      <c r="F72" s="98"/>
      <c r="G72" s="4">
        <v>726310.40000000002</v>
      </c>
      <c r="H72" s="7">
        <f t="shared" si="28"/>
        <v>391090.21000000008</v>
      </c>
      <c r="I72" s="2"/>
      <c r="J72" s="2"/>
      <c r="K72" s="41">
        <f t="shared" si="29"/>
        <v>0</v>
      </c>
      <c r="L72" s="2"/>
      <c r="M72" s="2"/>
      <c r="N72" s="2"/>
      <c r="O72" s="2"/>
      <c r="P72" s="41">
        <f t="shared" si="30"/>
        <v>391090.21</v>
      </c>
      <c r="Q72" s="2"/>
      <c r="R72" s="2"/>
      <c r="S72" s="2"/>
      <c r="T72" s="2">
        <v>391090.21</v>
      </c>
      <c r="U72" s="46">
        <f t="shared" si="31"/>
        <v>0</v>
      </c>
      <c r="V72" s="2"/>
      <c r="W72" s="2"/>
      <c r="X72" s="2"/>
      <c r="Y72" s="2"/>
      <c r="Z72" s="2">
        <f t="shared" si="32"/>
        <v>391090.21</v>
      </c>
      <c r="AA72" s="2">
        <f>T72-Y72</f>
        <v>391090.21</v>
      </c>
    </row>
    <row r="73" spans="1:28" s="65" customFormat="1" ht="24" hidden="1" x14ac:dyDescent="0.25">
      <c r="A73" s="60" t="s">
        <v>93</v>
      </c>
      <c r="B73" s="61" t="s">
        <v>14</v>
      </c>
      <c r="C73" s="61">
        <v>226</v>
      </c>
      <c r="D73" s="66" t="s">
        <v>232</v>
      </c>
      <c r="E73" s="7">
        <v>1456688.5</v>
      </c>
      <c r="F73" s="98"/>
      <c r="G73" s="4">
        <v>946847.52</v>
      </c>
      <c r="H73" s="7">
        <f>E73-F73-G73</f>
        <v>509840.98</v>
      </c>
      <c r="I73" s="7"/>
      <c r="J73" s="7"/>
      <c r="K73" s="63">
        <f t="shared" si="29"/>
        <v>509840.98</v>
      </c>
      <c r="L73" s="7"/>
      <c r="M73" s="7"/>
      <c r="N73" s="7"/>
      <c r="O73" s="7">
        <v>509840.98</v>
      </c>
      <c r="P73" s="63">
        <f t="shared" si="30"/>
        <v>509840.98</v>
      </c>
      <c r="Q73" s="7"/>
      <c r="R73" s="7"/>
      <c r="S73" s="7"/>
      <c r="T73" s="7">
        <v>509840.98</v>
      </c>
      <c r="U73" s="64">
        <f t="shared" si="31"/>
        <v>0</v>
      </c>
      <c r="V73" s="7"/>
      <c r="W73" s="7"/>
      <c r="X73" s="7"/>
      <c r="Y73" s="7">
        <v>0</v>
      </c>
      <c r="Z73" s="7">
        <f t="shared" si="32"/>
        <v>0</v>
      </c>
      <c r="AA73" s="7">
        <f>O73</f>
        <v>509840.98</v>
      </c>
    </row>
    <row r="74" spans="1:28" s="65" customFormat="1" ht="78.75" hidden="1" x14ac:dyDescent="0.25">
      <c r="A74" s="60" t="s">
        <v>214</v>
      </c>
      <c r="B74" s="61" t="s">
        <v>208</v>
      </c>
      <c r="C74" s="61">
        <v>226</v>
      </c>
      <c r="D74" s="66" t="s">
        <v>215</v>
      </c>
      <c r="E74" s="7">
        <v>58020.91</v>
      </c>
      <c r="F74" s="98"/>
      <c r="G74" s="4"/>
      <c r="H74" s="7">
        <f>E74-F74-G74</f>
        <v>58020.91</v>
      </c>
      <c r="I74" s="7"/>
      <c r="J74" s="7"/>
      <c r="K74" s="63">
        <f t="shared" si="29"/>
        <v>58020.91</v>
      </c>
      <c r="L74" s="7"/>
      <c r="M74" s="7"/>
      <c r="N74" s="7"/>
      <c r="O74" s="7">
        <v>58020.91</v>
      </c>
      <c r="P74" s="63">
        <f t="shared" si="30"/>
        <v>58020.91</v>
      </c>
      <c r="Q74" s="7"/>
      <c r="R74" s="7"/>
      <c r="S74" s="7"/>
      <c r="T74" s="7">
        <v>58020.91</v>
      </c>
      <c r="U74" s="64">
        <f t="shared" si="31"/>
        <v>0</v>
      </c>
      <c r="V74" s="7"/>
      <c r="W74" s="7"/>
      <c r="X74" s="7"/>
      <c r="Y74" s="7">
        <v>0</v>
      </c>
      <c r="Z74" s="7">
        <f t="shared" si="32"/>
        <v>0</v>
      </c>
      <c r="AA74" s="7">
        <f>O74</f>
        <v>58020.91</v>
      </c>
    </row>
    <row r="75" spans="1:28" s="65" customFormat="1" ht="48.75" hidden="1" customHeight="1" x14ac:dyDescent="0.25">
      <c r="A75" s="60" t="s">
        <v>252</v>
      </c>
      <c r="B75" s="68" t="s">
        <v>248</v>
      </c>
      <c r="C75" s="68">
        <v>226</v>
      </c>
      <c r="D75" s="121" t="s">
        <v>308</v>
      </c>
      <c r="E75" s="7">
        <v>1239</v>
      </c>
      <c r="F75" s="98"/>
      <c r="G75" s="4"/>
      <c r="H75" s="7">
        <f>E75-F75-G75</f>
        <v>1239</v>
      </c>
      <c r="I75" s="7"/>
      <c r="J75" s="7"/>
      <c r="K75" s="63">
        <f>SUM(L75:O75)</f>
        <v>0</v>
      </c>
      <c r="L75" s="7"/>
      <c r="M75" s="7"/>
      <c r="N75" s="7"/>
      <c r="O75" s="7"/>
      <c r="P75" s="63">
        <f t="shared" si="30"/>
        <v>1239</v>
      </c>
      <c r="Q75" s="7"/>
      <c r="R75" s="7"/>
      <c r="S75" s="7"/>
      <c r="T75" s="7">
        <v>1239</v>
      </c>
      <c r="U75" s="64">
        <f t="shared" si="31"/>
        <v>0</v>
      </c>
      <c r="V75" s="7"/>
      <c r="W75" s="7"/>
      <c r="X75" s="7"/>
      <c r="Y75" s="7">
        <v>0</v>
      </c>
      <c r="Z75" s="7">
        <f t="shared" si="32"/>
        <v>1239</v>
      </c>
      <c r="AA75" s="7">
        <f>T75-O75</f>
        <v>1239</v>
      </c>
    </row>
    <row r="76" spans="1:28" s="14" customFormat="1" hidden="1" x14ac:dyDescent="0.25">
      <c r="A76" s="11" t="s">
        <v>40</v>
      </c>
      <c r="B76" s="12" t="s">
        <v>5</v>
      </c>
      <c r="C76" s="12"/>
      <c r="D76" s="12"/>
      <c r="E76" s="13">
        <f>SUM(E77:E92)</f>
        <v>125934690.22999999</v>
      </c>
      <c r="F76" s="102">
        <f>SUM(F77:F92)</f>
        <v>348175.05</v>
      </c>
      <c r="G76" s="83">
        <f>SUM(G77:G92)</f>
        <v>13895532.380000001</v>
      </c>
      <c r="H76" s="89">
        <f>SUM(H77:H92)</f>
        <v>111690982.8</v>
      </c>
      <c r="I76" s="13">
        <v>1499.94</v>
      </c>
      <c r="J76" s="13">
        <f>E76/I76</f>
        <v>83959.81854607517</v>
      </c>
      <c r="K76" s="40">
        <f>K77+K80+K81+K82+K83+K84+K85+K86+K87+K88+K89+K90+K91+K92</f>
        <v>55019450.000000007</v>
      </c>
      <c r="L76" s="13">
        <f t="shared" ref="L76:Z76" si="33">L77+L80+L81+L82+L83+L84+L85+L86+L87+L88+L89+L90+L91+L92</f>
        <v>13118530.42</v>
      </c>
      <c r="M76" s="13">
        <f t="shared" si="33"/>
        <v>28977499.289999999</v>
      </c>
      <c r="N76" s="13">
        <f t="shared" si="33"/>
        <v>2578130.0500000003</v>
      </c>
      <c r="O76" s="13">
        <f t="shared" si="33"/>
        <v>10345290.239999998</v>
      </c>
      <c r="P76" s="40">
        <f t="shared" si="33"/>
        <v>57131636.729999997</v>
      </c>
      <c r="Q76" s="13">
        <f t="shared" si="33"/>
        <v>13118530.42</v>
      </c>
      <c r="R76" s="13">
        <f t="shared" si="33"/>
        <v>28977499.289999999</v>
      </c>
      <c r="S76" s="13">
        <f t="shared" si="33"/>
        <v>3571998.37</v>
      </c>
      <c r="T76" s="13">
        <f t="shared" si="33"/>
        <v>11463608.649999997</v>
      </c>
      <c r="U76" s="40">
        <f t="shared" si="33"/>
        <v>31479219.769999996</v>
      </c>
      <c r="V76" s="13">
        <f t="shared" si="33"/>
        <v>8309819.8300000001</v>
      </c>
      <c r="W76" s="13">
        <f t="shared" si="33"/>
        <v>20092078.289999999</v>
      </c>
      <c r="X76" s="13">
        <f t="shared" si="33"/>
        <v>2409447.2000000002</v>
      </c>
      <c r="Y76" s="13">
        <f t="shared" si="33"/>
        <v>667874.44999999995</v>
      </c>
      <c r="Z76" s="40">
        <f t="shared" si="33"/>
        <v>2112186.7299999995</v>
      </c>
      <c r="AA76" s="40">
        <f>AA77+AA80+AA81+AA82+AA83+AA84+AA85+AA86+AA87+AA88+AA89+AA90+AA91+AA92</f>
        <v>11958285.369999999</v>
      </c>
    </row>
    <row r="77" spans="1:28" ht="66.75" hidden="1" customHeight="1" x14ac:dyDescent="0.25">
      <c r="A77" s="168" t="s">
        <v>94</v>
      </c>
      <c r="B77" s="1" t="s">
        <v>32</v>
      </c>
      <c r="C77" s="3">
        <v>310</v>
      </c>
      <c r="D77" s="25" t="s">
        <v>264</v>
      </c>
      <c r="E77" s="2">
        <v>59463754</v>
      </c>
      <c r="F77" s="98"/>
      <c r="G77" s="4">
        <v>4904407.93</v>
      </c>
      <c r="H77" s="7">
        <f t="shared" ref="H77:H88" si="34">E77-F77-G77</f>
        <v>54559346.07</v>
      </c>
      <c r="I77" s="36">
        <v>1499.94</v>
      </c>
      <c r="J77" s="36">
        <f>E77/I77</f>
        <v>39644.088430203876</v>
      </c>
      <c r="K77" s="41">
        <f t="shared" ref="K77:U77" si="35">SUM(K78:K79)</f>
        <v>53259667.710000008</v>
      </c>
      <c r="L77" s="2">
        <f t="shared" si="35"/>
        <v>13118530.42</v>
      </c>
      <c r="M77" s="2">
        <f t="shared" si="35"/>
        <v>28977499.289999999</v>
      </c>
      <c r="N77" s="2">
        <f t="shared" si="35"/>
        <v>2578130.0500000003</v>
      </c>
      <c r="O77" s="2">
        <f t="shared" si="35"/>
        <v>8585507.9499999993</v>
      </c>
      <c r="P77" s="41">
        <f t="shared" si="35"/>
        <v>54559346.07</v>
      </c>
      <c r="Q77" s="2">
        <f t="shared" si="35"/>
        <v>13118530.42</v>
      </c>
      <c r="R77" s="2">
        <f t="shared" si="35"/>
        <v>28977499.289999999</v>
      </c>
      <c r="S77" s="2">
        <f t="shared" si="35"/>
        <v>3571998.37</v>
      </c>
      <c r="T77" s="2">
        <f t="shared" si="35"/>
        <v>8891317.9899999984</v>
      </c>
      <c r="U77" s="41">
        <f t="shared" si="35"/>
        <v>30811345.319999997</v>
      </c>
      <c r="V77" s="2">
        <f t="shared" ref="V77:AA77" si="36">SUM(V78:V79)</f>
        <v>8309819.8300000001</v>
      </c>
      <c r="W77" s="2">
        <f t="shared" si="36"/>
        <v>20092078.289999999</v>
      </c>
      <c r="X77" s="2">
        <f t="shared" si="36"/>
        <v>2409447.2000000002</v>
      </c>
      <c r="Y77" s="2">
        <f t="shared" si="36"/>
        <v>0</v>
      </c>
      <c r="Z77" s="41">
        <f t="shared" si="36"/>
        <v>1299678.3599999999</v>
      </c>
      <c r="AA77" s="41">
        <f t="shared" si="36"/>
        <v>10053869.16</v>
      </c>
    </row>
    <row r="78" spans="1:28" hidden="1" x14ac:dyDescent="0.25">
      <c r="A78" s="168"/>
      <c r="B78" s="1" t="s">
        <v>193</v>
      </c>
      <c r="C78" s="3"/>
      <c r="D78" s="25"/>
      <c r="E78" s="132">
        <v>57001287.960000001</v>
      </c>
      <c r="F78" s="98"/>
      <c r="G78" s="4">
        <v>4904407.93</v>
      </c>
      <c r="H78" s="7">
        <f t="shared" si="34"/>
        <v>52096880.030000001</v>
      </c>
      <c r="I78" s="36"/>
      <c r="J78" s="36"/>
      <c r="K78" s="41">
        <f>SUM(L78:O78)</f>
        <v>51103011.710000008</v>
      </c>
      <c r="L78" s="36">
        <v>11736185.73</v>
      </c>
      <c r="M78" s="36">
        <v>28371870.829999998</v>
      </c>
      <c r="N78" s="36">
        <v>2409447.2000000002</v>
      </c>
      <c r="O78" s="36">
        <f>1423790+7161717.95</f>
        <v>8585507.9499999993</v>
      </c>
      <c r="P78" s="41">
        <f>SUM(Q78:T78)</f>
        <v>52096880.030000001</v>
      </c>
      <c r="Q78" s="36">
        <f>13058904.55-1322718.82</f>
        <v>11736185.73</v>
      </c>
      <c r="R78" s="36">
        <f>31570035.24-3198164.41</f>
        <v>28371870.829999998</v>
      </c>
      <c r="S78" s="36">
        <f>3786840.22-383524.7</f>
        <v>3403315.52</v>
      </c>
      <c r="T78" s="36">
        <f>1423790+7161717.95</f>
        <v>8585507.9499999993</v>
      </c>
      <c r="U78" s="46">
        <f>SUM(V78:Y78)</f>
        <v>30811345.319999997</v>
      </c>
      <c r="V78" s="36">
        <v>8309819.8300000001</v>
      </c>
      <c r="W78" s="36">
        <v>20092078.289999999</v>
      </c>
      <c r="X78" s="36">
        <v>2409447.2000000002</v>
      </c>
      <c r="Y78" s="36">
        <v>0</v>
      </c>
      <c r="Z78" s="36">
        <f>S78-N78</f>
        <v>993868.31999999983</v>
      </c>
      <c r="AA78" s="36">
        <f>Z78+N78-X78+O78</f>
        <v>9579376.2699999996</v>
      </c>
      <c r="AB78" s="50">
        <f>S78-N78+N78-X78+O78-Y78</f>
        <v>9579376.2699999996</v>
      </c>
    </row>
    <row r="79" spans="1:28" hidden="1" x14ac:dyDescent="0.25">
      <c r="A79" s="168"/>
      <c r="B79" s="1" t="s">
        <v>194</v>
      </c>
      <c r="C79" s="3"/>
      <c r="D79" s="25"/>
      <c r="E79" s="132">
        <v>2462466.04</v>
      </c>
      <c r="F79" s="98"/>
      <c r="G79" s="4">
        <v>0</v>
      </c>
      <c r="H79" s="7">
        <f t="shared" si="34"/>
        <v>2462466.04</v>
      </c>
      <c r="I79" s="36"/>
      <c r="J79" s="36"/>
      <c r="K79" s="41">
        <f>SUM(L79:O79)</f>
        <v>2156656</v>
      </c>
      <c r="L79" s="36">
        <v>1382344.69</v>
      </c>
      <c r="M79" s="36">
        <v>605628.46</v>
      </c>
      <c r="N79" s="36">
        <v>168682.85</v>
      </c>
      <c r="O79" s="36">
        <v>0</v>
      </c>
      <c r="P79" s="41">
        <f>SUM(Q79:T79)</f>
        <v>2462466.04</v>
      </c>
      <c r="Q79" s="36">
        <v>1382344.69</v>
      </c>
      <c r="R79" s="36">
        <v>605628.46</v>
      </c>
      <c r="S79" s="36">
        <v>168682.85</v>
      </c>
      <c r="T79" s="36">
        <f>10034+295776.04</f>
        <v>305810.03999999998</v>
      </c>
      <c r="U79" s="46">
        <f>SUM(V79:Y79)</f>
        <v>0</v>
      </c>
      <c r="V79" s="36">
        <v>0</v>
      </c>
      <c r="W79" s="36">
        <v>0</v>
      </c>
      <c r="X79" s="36">
        <v>0</v>
      </c>
      <c r="Y79" s="36">
        <v>0</v>
      </c>
      <c r="Z79" s="36">
        <f>T79-O79</f>
        <v>305810.03999999998</v>
      </c>
      <c r="AA79" s="36">
        <f>Z79+N79</f>
        <v>474492.89</v>
      </c>
      <c r="AB79" s="50">
        <f>N79+T79</f>
        <v>474492.89</v>
      </c>
    </row>
    <row r="80" spans="1:28" ht="24" hidden="1" x14ac:dyDescent="0.25">
      <c r="A80" s="168" t="s">
        <v>95</v>
      </c>
      <c r="B80" s="3" t="s">
        <v>10</v>
      </c>
      <c r="C80" s="3">
        <v>226</v>
      </c>
      <c r="D80" s="25" t="s">
        <v>179</v>
      </c>
      <c r="E80" s="2">
        <v>5000</v>
      </c>
      <c r="F80" s="98">
        <v>5000</v>
      </c>
      <c r="G80" s="4"/>
      <c r="H80" s="7">
        <f t="shared" si="34"/>
        <v>0</v>
      </c>
      <c r="I80" s="2"/>
      <c r="J80" s="2"/>
      <c r="K80" s="41">
        <f t="shared" ref="K80:K92" si="37">SUM(L80:O80)</f>
        <v>0</v>
      </c>
      <c r="L80" s="2"/>
      <c r="M80" s="2"/>
      <c r="N80" s="2"/>
      <c r="O80" s="2"/>
      <c r="P80" s="41">
        <f t="shared" ref="P80:P92" si="38">SUM(Q80:T80)</f>
        <v>0</v>
      </c>
      <c r="Q80" s="2"/>
      <c r="R80" s="2"/>
      <c r="S80" s="2"/>
      <c r="T80" s="2"/>
      <c r="U80" s="46">
        <f t="shared" ref="U80:U92" si="39">SUM(V80:Y80)</f>
        <v>0</v>
      </c>
      <c r="V80" s="2"/>
      <c r="W80" s="2"/>
      <c r="X80" s="2"/>
      <c r="Y80" s="2"/>
      <c r="Z80" s="2"/>
      <c r="AA80" s="2"/>
    </row>
    <row r="81" spans="1:28" s="8" customFormat="1" ht="24" hidden="1" x14ac:dyDescent="0.25">
      <c r="A81" s="5" t="s">
        <v>96</v>
      </c>
      <c r="B81" s="1" t="s">
        <v>8</v>
      </c>
      <c r="C81" s="1">
        <v>226</v>
      </c>
      <c r="D81" s="25" t="s">
        <v>167</v>
      </c>
      <c r="E81" s="2">
        <v>7500</v>
      </c>
      <c r="F81" s="98"/>
      <c r="G81" s="4">
        <v>7500</v>
      </c>
      <c r="H81" s="7">
        <f t="shared" si="34"/>
        <v>0</v>
      </c>
      <c r="I81" s="2"/>
      <c r="J81" s="2"/>
      <c r="K81" s="41">
        <f t="shared" si="37"/>
        <v>0</v>
      </c>
      <c r="L81" s="2"/>
      <c r="M81" s="2"/>
      <c r="N81" s="2"/>
      <c r="O81" s="2"/>
      <c r="P81" s="41">
        <f t="shared" si="38"/>
        <v>0</v>
      </c>
      <c r="Q81" s="2"/>
      <c r="R81" s="2"/>
      <c r="S81" s="2"/>
      <c r="T81" s="2"/>
      <c r="U81" s="77">
        <f t="shared" si="39"/>
        <v>0</v>
      </c>
      <c r="V81" s="2"/>
      <c r="W81" s="2"/>
      <c r="X81" s="2"/>
      <c r="Y81" s="2"/>
      <c r="Z81" s="2"/>
      <c r="AA81" s="2"/>
    </row>
    <row r="82" spans="1:28" s="8" customFormat="1" ht="24" hidden="1" x14ac:dyDescent="0.25">
      <c r="A82" s="5" t="s">
        <v>97</v>
      </c>
      <c r="B82" s="1" t="s">
        <v>1</v>
      </c>
      <c r="C82" s="1">
        <v>226</v>
      </c>
      <c r="D82" s="25" t="s">
        <v>168</v>
      </c>
      <c r="E82" s="2">
        <v>343175.05</v>
      </c>
      <c r="F82" s="98">
        <v>343175.05</v>
      </c>
      <c r="G82" s="4"/>
      <c r="H82" s="7">
        <f t="shared" si="34"/>
        <v>0</v>
      </c>
      <c r="I82" s="2"/>
      <c r="J82" s="2"/>
      <c r="K82" s="41">
        <f t="shared" si="37"/>
        <v>0</v>
      </c>
      <c r="L82" s="2"/>
      <c r="M82" s="2"/>
      <c r="N82" s="2"/>
      <c r="O82" s="2"/>
      <c r="P82" s="41">
        <f t="shared" si="38"/>
        <v>0</v>
      </c>
      <c r="Q82" s="2"/>
      <c r="R82" s="2"/>
      <c r="S82" s="2"/>
      <c r="T82" s="2"/>
      <c r="U82" s="77">
        <f t="shared" si="39"/>
        <v>0</v>
      </c>
      <c r="V82" s="2"/>
      <c r="W82" s="2"/>
      <c r="X82" s="2"/>
      <c r="Y82" s="2"/>
      <c r="Z82" s="2"/>
      <c r="AA82" s="2"/>
    </row>
    <row r="83" spans="1:28" s="8" customFormat="1" ht="27.6" hidden="1" customHeight="1" x14ac:dyDescent="0.25">
      <c r="A83" s="5" t="s">
        <v>98</v>
      </c>
      <c r="B83" s="1" t="s">
        <v>1</v>
      </c>
      <c r="C83" s="1">
        <v>226</v>
      </c>
      <c r="D83" s="25" t="s">
        <v>181</v>
      </c>
      <c r="E83" s="2">
        <v>19641.689999999999</v>
      </c>
      <c r="F83" s="98"/>
      <c r="G83" s="4">
        <v>19641.689999999999</v>
      </c>
      <c r="H83" s="7">
        <f t="shared" si="34"/>
        <v>0</v>
      </c>
      <c r="I83" s="2"/>
      <c r="J83" s="2"/>
      <c r="K83" s="41">
        <f t="shared" si="37"/>
        <v>0</v>
      </c>
      <c r="L83" s="2"/>
      <c r="M83" s="2"/>
      <c r="N83" s="2"/>
      <c r="O83" s="2"/>
      <c r="P83" s="41">
        <f t="shared" si="38"/>
        <v>0</v>
      </c>
      <c r="Q83" s="2"/>
      <c r="R83" s="2"/>
      <c r="S83" s="2"/>
      <c r="T83" s="2"/>
      <c r="U83" s="77">
        <f t="shared" si="39"/>
        <v>0</v>
      </c>
      <c r="V83" s="2"/>
      <c r="W83" s="2"/>
      <c r="X83" s="2"/>
      <c r="Y83" s="2"/>
      <c r="Z83" s="2"/>
      <c r="AA83" s="2"/>
    </row>
    <row r="84" spans="1:28" s="8" customFormat="1" ht="36" hidden="1" x14ac:dyDescent="0.25">
      <c r="A84" s="5" t="s">
        <v>99</v>
      </c>
      <c r="B84" s="1" t="s">
        <v>11</v>
      </c>
      <c r="C84" s="1">
        <v>226</v>
      </c>
      <c r="D84" s="25" t="s">
        <v>123</v>
      </c>
      <c r="E84" s="2">
        <v>1493590</v>
      </c>
      <c r="F84" s="98"/>
      <c r="G84" s="4">
        <v>1493590</v>
      </c>
      <c r="H84" s="7">
        <f t="shared" si="34"/>
        <v>0</v>
      </c>
      <c r="I84" s="2"/>
      <c r="J84" s="2"/>
      <c r="K84" s="41">
        <f t="shared" si="37"/>
        <v>0</v>
      </c>
      <c r="L84" s="2"/>
      <c r="M84" s="2"/>
      <c r="N84" s="2"/>
      <c r="O84" s="2"/>
      <c r="P84" s="41">
        <f t="shared" si="38"/>
        <v>0</v>
      </c>
      <c r="Q84" s="2"/>
      <c r="R84" s="2"/>
      <c r="S84" s="2"/>
      <c r="T84" s="2"/>
      <c r="U84" s="77">
        <f t="shared" si="39"/>
        <v>0</v>
      </c>
      <c r="V84" s="2"/>
      <c r="W84" s="2"/>
      <c r="X84" s="2"/>
      <c r="Y84" s="2"/>
      <c r="Z84" s="2"/>
      <c r="AA84" s="2"/>
    </row>
    <row r="85" spans="1:28" s="65" customFormat="1" ht="24" hidden="1" x14ac:dyDescent="0.25">
      <c r="A85" s="60" t="s">
        <v>100</v>
      </c>
      <c r="B85" s="61" t="s">
        <v>20</v>
      </c>
      <c r="C85" s="61">
        <v>226</v>
      </c>
      <c r="D85" s="66" t="s">
        <v>129</v>
      </c>
      <c r="E85" s="7">
        <v>100786.02</v>
      </c>
      <c r="F85" s="98"/>
      <c r="G85" s="4">
        <v>3553.4</v>
      </c>
      <c r="H85" s="7">
        <f t="shared" si="34"/>
        <v>97232.62000000001</v>
      </c>
      <c r="I85" s="7"/>
      <c r="J85" s="7"/>
      <c r="K85" s="63">
        <f t="shared" si="37"/>
        <v>97232.62</v>
      </c>
      <c r="L85" s="7"/>
      <c r="M85" s="7"/>
      <c r="N85" s="7"/>
      <c r="O85" s="7">
        <v>97232.62</v>
      </c>
      <c r="P85" s="63">
        <f t="shared" si="38"/>
        <v>97232.62</v>
      </c>
      <c r="Q85" s="7"/>
      <c r="R85" s="7"/>
      <c r="S85" s="7"/>
      <c r="T85" s="7">
        <v>97232.62</v>
      </c>
      <c r="U85" s="64">
        <f t="shared" si="39"/>
        <v>32563.5</v>
      </c>
      <c r="V85" s="7"/>
      <c r="W85" s="7"/>
      <c r="X85" s="7"/>
      <c r="Y85" s="7">
        <v>32563.5</v>
      </c>
      <c r="Z85" s="7">
        <f>T85-O85</f>
        <v>0</v>
      </c>
      <c r="AA85" s="7">
        <f>O85-Y85</f>
        <v>64669.119999999995</v>
      </c>
    </row>
    <row r="86" spans="1:28" ht="24" hidden="1" x14ac:dyDescent="0.25">
      <c r="A86" s="168" t="s">
        <v>101</v>
      </c>
      <c r="B86" s="3" t="s">
        <v>12</v>
      </c>
      <c r="C86" s="3">
        <v>226</v>
      </c>
      <c r="D86" s="25" t="s">
        <v>134</v>
      </c>
      <c r="E86" s="2">
        <v>222926.3</v>
      </c>
      <c r="F86" s="98"/>
      <c r="G86" s="4">
        <v>66877.89</v>
      </c>
      <c r="H86" s="7">
        <f t="shared" si="34"/>
        <v>156048.40999999997</v>
      </c>
      <c r="I86" s="2"/>
      <c r="J86" s="2"/>
      <c r="K86" s="41">
        <f t="shared" si="37"/>
        <v>0</v>
      </c>
      <c r="L86" s="2"/>
      <c r="M86" s="2"/>
      <c r="N86" s="2"/>
      <c r="O86" s="2"/>
      <c r="P86" s="41">
        <f t="shared" si="38"/>
        <v>156048.41</v>
      </c>
      <c r="Q86" s="2"/>
      <c r="R86" s="2"/>
      <c r="S86" s="2"/>
      <c r="T86" s="2">
        <v>156048.41</v>
      </c>
      <c r="U86" s="46">
        <f t="shared" si="39"/>
        <v>0</v>
      </c>
      <c r="V86" s="2"/>
      <c r="W86" s="2"/>
      <c r="X86" s="2"/>
      <c r="Y86" s="2"/>
      <c r="Z86" s="2">
        <f>T86-O86</f>
        <v>156048.41</v>
      </c>
      <c r="AA86" s="2">
        <f>T86-Y86</f>
        <v>156048.41</v>
      </c>
    </row>
    <row r="87" spans="1:28" ht="24" hidden="1" x14ac:dyDescent="0.25">
      <c r="A87" s="168" t="s">
        <v>102</v>
      </c>
      <c r="B87" s="3" t="s">
        <v>13</v>
      </c>
      <c r="C87" s="3">
        <v>226</v>
      </c>
      <c r="D87" s="26" t="s">
        <v>146</v>
      </c>
      <c r="E87" s="2">
        <v>894658.42</v>
      </c>
      <c r="F87" s="98"/>
      <c r="G87" s="4">
        <v>581527.97</v>
      </c>
      <c r="H87" s="7">
        <f t="shared" si="34"/>
        <v>313130.45000000007</v>
      </c>
      <c r="I87" s="2"/>
      <c r="J87" s="2"/>
      <c r="K87" s="41">
        <f t="shared" si="37"/>
        <v>0</v>
      </c>
      <c r="L87" s="2"/>
      <c r="M87" s="2"/>
      <c r="N87" s="2"/>
      <c r="O87" s="2"/>
      <c r="P87" s="41">
        <f t="shared" si="38"/>
        <v>313130.45</v>
      </c>
      <c r="Q87" s="2"/>
      <c r="R87" s="2"/>
      <c r="S87" s="2"/>
      <c r="T87" s="2">
        <v>313130.45</v>
      </c>
      <c r="U87" s="46">
        <f t="shared" si="39"/>
        <v>0</v>
      </c>
      <c r="V87" s="2"/>
      <c r="W87" s="2"/>
      <c r="X87" s="2"/>
      <c r="Y87" s="2"/>
      <c r="Z87" s="2">
        <f>T87-O87</f>
        <v>313130.45</v>
      </c>
      <c r="AA87" s="2">
        <f>T87-Y87</f>
        <v>313130.45</v>
      </c>
    </row>
    <row r="88" spans="1:28" s="65" customFormat="1" ht="24" hidden="1" x14ac:dyDescent="0.25">
      <c r="A88" s="60" t="s">
        <v>103</v>
      </c>
      <c r="B88" s="61" t="s">
        <v>15</v>
      </c>
      <c r="C88" s="61">
        <v>226</v>
      </c>
      <c r="D88" s="62" t="s">
        <v>157</v>
      </c>
      <c r="E88" s="7">
        <v>977401.46</v>
      </c>
      <c r="F88" s="98"/>
      <c r="G88" s="4"/>
      <c r="H88" s="7">
        <f t="shared" si="34"/>
        <v>977401.46</v>
      </c>
      <c r="I88" s="7"/>
      <c r="J88" s="7"/>
      <c r="K88" s="63">
        <f t="shared" si="37"/>
        <v>635310.94999999995</v>
      </c>
      <c r="L88" s="7"/>
      <c r="M88" s="7"/>
      <c r="N88" s="7"/>
      <c r="O88" s="7">
        <v>635310.94999999995</v>
      </c>
      <c r="P88" s="63">
        <f t="shared" si="38"/>
        <v>977401.46</v>
      </c>
      <c r="Q88" s="7"/>
      <c r="R88" s="7"/>
      <c r="S88" s="7"/>
      <c r="T88" s="7">
        <f>977401.46</f>
        <v>977401.46</v>
      </c>
      <c r="U88" s="64">
        <f t="shared" si="39"/>
        <v>635310.94999999995</v>
      </c>
      <c r="V88" s="7"/>
      <c r="W88" s="7"/>
      <c r="X88" s="7"/>
      <c r="Y88" s="7">
        <v>635310.94999999995</v>
      </c>
      <c r="Z88" s="7">
        <f>T88-O88</f>
        <v>342090.51</v>
      </c>
      <c r="AA88" s="7">
        <f>Z88</f>
        <v>342090.51</v>
      </c>
    </row>
    <row r="89" spans="1:28" s="65" customFormat="1" ht="24" hidden="1" x14ac:dyDescent="0.25">
      <c r="A89" s="60" t="s">
        <v>104</v>
      </c>
      <c r="B89" s="61" t="s">
        <v>14</v>
      </c>
      <c r="C89" s="61">
        <v>226</v>
      </c>
      <c r="D89" s="66" t="s">
        <v>233</v>
      </c>
      <c r="E89" s="7">
        <v>2791737.8</v>
      </c>
      <c r="F89" s="98"/>
      <c r="G89" s="4">
        <v>1814629.57</v>
      </c>
      <c r="H89" s="7">
        <f>E89-F89-G89</f>
        <v>977108.22999999975</v>
      </c>
      <c r="I89" s="7"/>
      <c r="J89" s="7"/>
      <c r="K89" s="63">
        <f t="shared" si="37"/>
        <v>977108.23</v>
      </c>
      <c r="L89" s="7"/>
      <c r="M89" s="7"/>
      <c r="N89" s="7"/>
      <c r="O89" s="7">
        <v>977108.23</v>
      </c>
      <c r="P89" s="63">
        <f t="shared" si="38"/>
        <v>977108.23</v>
      </c>
      <c r="Q89" s="7"/>
      <c r="R89" s="7"/>
      <c r="S89" s="7"/>
      <c r="T89" s="7">
        <v>977108.23</v>
      </c>
      <c r="U89" s="64">
        <f t="shared" si="39"/>
        <v>0</v>
      </c>
      <c r="V89" s="7"/>
      <c r="W89" s="7"/>
      <c r="X89" s="7"/>
      <c r="Y89" s="7">
        <v>0</v>
      </c>
      <c r="Z89" s="7">
        <f>T89-O89</f>
        <v>0</v>
      </c>
      <c r="AA89" s="7">
        <f>O89</f>
        <v>977108.23</v>
      </c>
    </row>
    <row r="90" spans="1:28" ht="24" hidden="1" x14ac:dyDescent="0.25">
      <c r="A90" s="168" t="s">
        <v>105</v>
      </c>
      <c r="B90" s="3" t="s">
        <v>21</v>
      </c>
      <c r="C90" s="3">
        <v>226</v>
      </c>
      <c r="D90" s="25" t="s">
        <v>173</v>
      </c>
      <c r="E90" s="2">
        <v>99396</v>
      </c>
      <c r="F90" s="98"/>
      <c r="G90" s="4">
        <v>99396</v>
      </c>
      <c r="H90" s="7">
        <f>E90-F90-G90</f>
        <v>0</v>
      </c>
      <c r="I90" s="2"/>
      <c r="J90" s="2"/>
      <c r="K90" s="41">
        <f t="shared" si="37"/>
        <v>0</v>
      </c>
      <c r="L90" s="2"/>
      <c r="M90" s="2"/>
      <c r="N90" s="2"/>
      <c r="O90" s="2"/>
      <c r="P90" s="41">
        <f t="shared" si="38"/>
        <v>0</v>
      </c>
      <c r="Q90" s="2"/>
      <c r="R90" s="2"/>
      <c r="S90" s="2"/>
      <c r="T90" s="2"/>
      <c r="U90" s="46">
        <f t="shared" si="39"/>
        <v>0</v>
      </c>
      <c r="V90" s="2"/>
      <c r="W90" s="2"/>
      <c r="X90" s="2"/>
      <c r="Y90" s="2"/>
      <c r="Z90" s="2"/>
      <c r="AA90" s="2"/>
    </row>
    <row r="91" spans="1:28" s="65" customFormat="1" ht="62.25" hidden="1" customHeight="1" x14ac:dyDescent="0.25">
      <c r="A91" s="60" t="s">
        <v>216</v>
      </c>
      <c r="B91" s="61" t="s">
        <v>208</v>
      </c>
      <c r="C91" s="61">
        <v>226</v>
      </c>
      <c r="D91" s="66" t="s">
        <v>217</v>
      </c>
      <c r="E91" s="7">
        <v>50130.49</v>
      </c>
      <c r="F91" s="98"/>
      <c r="G91" s="4"/>
      <c r="H91" s="7">
        <f>E91-F91-G91</f>
        <v>50130.49</v>
      </c>
      <c r="I91" s="7"/>
      <c r="J91" s="7"/>
      <c r="K91" s="63">
        <f t="shared" si="37"/>
        <v>50130.49</v>
      </c>
      <c r="L91" s="7"/>
      <c r="M91" s="7"/>
      <c r="N91" s="7"/>
      <c r="O91" s="7">
        <v>50130.49</v>
      </c>
      <c r="P91" s="63">
        <f t="shared" si="38"/>
        <v>50130.49</v>
      </c>
      <c r="Q91" s="7"/>
      <c r="R91" s="7"/>
      <c r="S91" s="7"/>
      <c r="T91" s="7">
        <v>50130.49</v>
      </c>
      <c r="U91" s="64">
        <f t="shared" si="39"/>
        <v>0</v>
      </c>
      <c r="V91" s="7"/>
      <c r="W91" s="7"/>
      <c r="X91" s="7"/>
      <c r="Y91" s="7">
        <v>0</v>
      </c>
      <c r="Z91" s="7">
        <f>T91-O91</f>
        <v>0</v>
      </c>
      <c r="AA91" s="7">
        <f>O91</f>
        <v>50130.49</v>
      </c>
    </row>
    <row r="92" spans="1:28" s="65" customFormat="1" ht="48.75" hidden="1" customHeight="1" x14ac:dyDescent="0.25">
      <c r="A92" s="60" t="s">
        <v>251</v>
      </c>
      <c r="B92" s="68" t="s">
        <v>248</v>
      </c>
      <c r="C92" s="68">
        <v>226</v>
      </c>
      <c r="D92" s="121" t="s">
        <v>308</v>
      </c>
      <c r="E92" s="7">
        <v>1239</v>
      </c>
      <c r="F92" s="98"/>
      <c r="G92" s="4"/>
      <c r="H92" s="7">
        <f>E92-F92-G92</f>
        <v>1239</v>
      </c>
      <c r="I92" s="7"/>
      <c r="J92" s="7"/>
      <c r="K92" s="63">
        <f t="shared" si="37"/>
        <v>0</v>
      </c>
      <c r="L92" s="7"/>
      <c r="M92" s="7"/>
      <c r="N92" s="7"/>
      <c r="O92" s="7"/>
      <c r="P92" s="63">
        <f t="shared" si="38"/>
        <v>1239</v>
      </c>
      <c r="Q92" s="7"/>
      <c r="R92" s="7"/>
      <c r="S92" s="7"/>
      <c r="T92" s="7">
        <v>1239</v>
      </c>
      <c r="U92" s="64">
        <f t="shared" si="39"/>
        <v>0</v>
      </c>
      <c r="V92" s="7"/>
      <c r="W92" s="7"/>
      <c r="X92" s="7"/>
      <c r="Y92" s="7">
        <v>0</v>
      </c>
      <c r="Z92" s="7">
        <f>T92-O92</f>
        <v>1239</v>
      </c>
      <c r="AA92" s="7">
        <f>T92-O92</f>
        <v>1239</v>
      </c>
    </row>
    <row r="93" spans="1:28" s="14" customFormat="1" hidden="1" x14ac:dyDescent="0.25">
      <c r="A93" s="11" t="s">
        <v>39</v>
      </c>
      <c r="B93" s="15" t="s">
        <v>6</v>
      </c>
      <c r="C93" s="15"/>
      <c r="D93" s="15"/>
      <c r="E93" s="13">
        <f>SUM(E94:E109)</f>
        <v>187107050.83000001</v>
      </c>
      <c r="F93" s="102">
        <f>SUM(F94:F109)</f>
        <v>348175.05</v>
      </c>
      <c r="G93" s="83">
        <f>SUM(G94:G109)</f>
        <v>13986095.66</v>
      </c>
      <c r="H93" s="89">
        <f>SUM(H94:H109)</f>
        <v>172772780.12</v>
      </c>
      <c r="I93" s="128">
        <v>1758.57</v>
      </c>
      <c r="J93" s="13">
        <f>E93/I93</f>
        <v>106397.27211882384</v>
      </c>
      <c r="K93" s="40">
        <f t="shared" ref="K93:Y93" si="40">K94+K97+K98+K99+K100+K101+K102+K103+K104+K105+K106+K107+K108+K109</f>
        <v>83679771.229999989</v>
      </c>
      <c r="L93" s="13">
        <f>L94+L97+L98+L99+L100+L101+L102+L103+L104+L105+L106+L107+L108+L109</f>
        <v>14658204.51</v>
      </c>
      <c r="M93" s="13">
        <f t="shared" si="40"/>
        <v>33203504.039999999</v>
      </c>
      <c r="N93" s="13">
        <f t="shared" si="40"/>
        <v>1736899.51</v>
      </c>
      <c r="O93" s="13">
        <f t="shared" si="40"/>
        <v>34081163.169999994</v>
      </c>
      <c r="P93" s="40">
        <f t="shared" si="40"/>
        <v>88083880.11999999</v>
      </c>
      <c r="Q93" s="13">
        <f t="shared" si="40"/>
        <v>14658204.51</v>
      </c>
      <c r="R93" s="13">
        <f t="shared" si="40"/>
        <v>33203504.039999999</v>
      </c>
      <c r="S93" s="13">
        <f t="shared" si="40"/>
        <v>4061220.4600000004</v>
      </c>
      <c r="T93" s="13">
        <f t="shared" si="40"/>
        <v>36160951.109999999</v>
      </c>
      <c r="U93" s="40">
        <f t="shared" si="40"/>
        <v>18084185.34</v>
      </c>
      <c r="V93" s="13">
        <f t="shared" si="40"/>
        <v>4658744</v>
      </c>
      <c r="W93" s="13">
        <f t="shared" si="40"/>
        <v>11264245.32</v>
      </c>
      <c r="X93" s="13">
        <f t="shared" si="40"/>
        <v>1350811.19</v>
      </c>
      <c r="Y93" s="13">
        <f t="shared" si="40"/>
        <v>810384.83</v>
      </c>
      <c r="Z93" s="40">
        <f>Z94+Z97+Z98+Z99+Z100+Z101+Z102+Z103+Z104+Z105+Z106+Z107+Z108+Z109</f>
        <v>4404108.8899999997</v>
      </c>
      <c r="AA93" s="40">
        <f>AA94+AA97+AA98+AA99+AA100+AA101+AA102+AA103+AA104+AA105+AA106+AA107+AA108+AA109</f>
        <v>38060975.550000004</v>
      </c>
    </row>
    <row r="94" spans="1:28" ht="36" hidden="1" customHeight="1" x14ac:dyDescent="0.25">
      <c r="A94" s="168" t="s">
        <v>106</v>
      </c>
      <c r="B94" s="1" t="s">
        <v>32</v>
      </c>
      <c r="C94" s="323">
        <v>310</v>
      </c>
      <c r="D94" s="318" t="s">
        <v>265</v>
      </c>
      <c r="E94" s="76">
        <v>89259280</v>
      </c>
      <c r="F94" s="107"/>
      <c r="G94" s="112">
        <v>4570380</v>
      </c>
      <c r="H94" s="7">
        <f t="shared" ref="H94:H105" si="41">E94-F94-G94</f>
        <v>84688900</v>
      </c>
      <c r="I94" s="129">
        <v>1758.57</v>
      </c>
      <c r="J94" s="36">
        <f>E94/I94</f>
        <v>50756.739851129045</v>
      </c>
      <c r="K94" s="41">
        <f t="shared" ref="K94:AA94" si="42">SUM(K95:K96)</f>
        <v>81470518.329999998</v>
      </c>
      <c r="L94" s="2">
        <f t="shared" si="42"/>
        <v>14658204.51</v>
      </c>
      <c r="M94" s="2">
        <f t="shared" si="42"/>
        <v>33203504.039999999</v>
      </c>
      <c r="N94" s="2">
        <f t="shared" si="42"/>
        <v>1736899.51</v>
      </c>
      <c r="O94" s="2">
        <f t="shared" si="42"/>
        <v>31871910.27</v>
      </c>
      <c r="P94" s="41">
        <f t="shared" si="42"/>
        <v>84688900</v>
      </c>
      <c r="Q94" s="2">
        <f t="shared" si="42"/>
        <v>14658204.51</v>
      </c>
      <c r="R94" s="2">
        <f t="shared" si="42"/>
        <v>33203504.039999999</v>
      </c>
      <c r="S94" s="2">
        <f t="shared" si="42"/>
        <v>4061220.4600000004</v>
      </c>
      <c r="T94" s="2">
        <f t="shared" si="42"/>
        <v>32765970.989999998</v>
      </c>
      <c r="U94" s="41">
        <f t="shared" si="42"/>
        <v>17273800.510000002</v>
      </c>
      <c r="V94" s="2">
        <f t="shared" si="42"/>
        <v>4658744</v>
      </c>
      <c r="W94" s="2">
        <f t="shared" si="42"/>
        <v>11264245.32</v>
      </c>
      <c r="X94" s="2">
        <f t="shared" si="42"/>
        <v>1350811.19</v>
      </c>
      <c r="Y94" s="2">
        <f t="shared" si="42"/>
        <v>0</v>
      </c>
      <c r="Z94" s="41">
        <f t="shared" si="42"/>
        <v>3218381.67</v>
      </c>
      <c r="AA94" s="41">
        <f t="shared" si="42"/>
        <v>35476380.259999998</v>
      </c>
    </row>
    <row r="95" spans="1:28" hidden="1" x14ac:dyDescent="0.25">
      <c r="A95" s="168"/>
      <c r="B95" s="1" t="s">
        <v>193</v>
      </c>
      <c r="C95" s="324"/>
      <c r="D95" s="319"/>
      <c r="E95" s="134">
        <v>86605650.280000001</v>
      </c>
      <c r="F95" s="98"/>
      <c r="G95" s="4">
        <v>4570380</v>
      </c>
      <c r="H95" s="7">
        <f t="shared" si="41"/>
        <v>82035270.280000001</v>
      </c>
      <c r="I95" s="36"/>
      <c r="J95" s="36"/>
      <c r="K95" s="41">
        <f>SUM(L95:O95)</f>
        <v>79710949.329999998</v>
      </c>
      <c r="L95" s="36">
        <v>13530379.359999999</v>
      </c>
      <c r="M95" s="36">
        <v>32709384.879999999</v>
      </c>
      <c r="N95" s="129">
        <v>1599274.82</v>
      </c>
      <c r="O95" s="36">
        <f>4362368+27509542.27</f>
        <v>31871910.27</v>
      </c>
      <c r="P95" s="41">
        <f>SUM(Q95:T95)</f>
        <v>82035270.280000001</v>
      </c>
      <c r="Q95" s="36">
        <f>14763010.85-1232631.49</f>
        <v>13530379.359999999</v>
      </c>
      <c r="R95" s="36">
        <f>35689729.68-2980344.8</f>
        <v>32709384.879999999</v>
      </c>
      <c r="S95" s="36">
        <f>4280999.48-357403.71</f>
        <v>3923595.7700000005</v>
      </c>
      <c r="T95" s="36">
        <f>4362368+27509542.27</f>
        <v>31871910.27</v>
      </c>
      <c r="U95" s="46">
        <f>SUM(V95:Y95)</f>
        <v>17273800.510000002</v>
      </c>
      <c r="V95" s="36">
        <v>4658744</v>
      </c>
      <c r="W95" s="36">
        <v>11264245.32</v>
      </c>
      <c r="X95" s="36">
        <v>1350811.19</v>
      </c>
      <c r="Y95" s="36">
        <v>0</v>
      </c>
      <c r="Z95" s="36">
        <f>S95-N95</f>
        <v>2324320.9500000002</v>
      </c>
      <c r="AA95" s="36">
        <f>Z95+N95-X95+O95</f>
        <v>34444694.850000001</v>
      </c>
      <c r="AB95" s="50">
        <f>S95-N95+N95-X95+O95-Y95</f>
        <v>34444694.850000001</v>
      </c>
    </row>
    <row r="96" spans="1:28" hidden="1" x14ac:dyDescent="0.25">
      <c r="A96" s="168"/>
      <c r="B96" s="1" t="s">
        <v>194</v>
      </c>
      <c r="C96" s="325"/>
      <c r="D96" s="320"/>
      <c r="E96" s="135">
        <v>2653629.7200000002</v>
      </c>
      <c r="F96" s="108"/>
      <c r="G96" s="114">
        <v>0</v>
      </c>
      <c r="H96" s="7">
        <f t="shared" si="41"/>
        <v>2653629.7200000002</v>
      </c>
      <c r="I96" s="36"/>
      <c r="J96" s="36"/>
      <c r="K96" s="41">
        <f>SUM(L96:O96)</f>
        <v>1759568.9999999998</v>
      </c>
      <c r="L96" s="36">
        <v>1127825.1499999999</v>
      </c>
      <c r="M96" s="36">
        <v>494119.16</v>
      </c>
      <c r="N96" s="36">
        <v>137624.69</v>
      </c>
      <c r="O96" s="36">
        <v>0</v>
      </c>
      <c r="P96" s="41">
        <f>SUM(Q96:T96)</f>
        <v>2653629.7199999997</v>
      </c>
      <c r="Q96" s="36">
        <v>1127825.1499999999</v>
      </c>
      <c r="R96" s="36">
        <v>494119.16</v>
      </c>
      <c r="S96" s="36">
        <v>137624.69</v>
      </c>
      <c r="T96" s="36">
        <f>79234+814826.72</f>
        <v>894060.72</v>
      </c>
      <c r="U96" s="46">
        <f>SUM(V96:Y96)</f>
        <v>0</v>
      </c>
      <c r="V96" s="36">
        <v>0</v>
      </c>
      <c r="W96" s="36">
        <v>0</v>
      </c>
      <c r="X96" s="36">
        <v>0</v>
      </c>
      <c r="Y96" s="36">
        <v>0</v>
      </c>
      <c r="Z96" s="36">
        <f>T96-O96</f>
        <v>894060.72</v>
      </c>
      <c r="AA96" s="36">
        <f>Z96+N96</f>
        <v>1031685.4099999999</v>
      </c>
      <c r="AB96" s="50">
        <f>N96+T96</f>
        <v>1031685.4099999999</v>
      </c>
    </row>
    <row r="97" spans="1:29" ht="24" hidden="1" x14ac:dyDescent="0.25">
      <c r="A97" s="168" t="s">
        <v>107</v>
      </c>
      <c r="B97" s="3" t="s">
        <v>10</v>
      </c>
      <c r="C97" s="3">
        <v>226</v>
      </c>
      <c r="D97" s="25" t="s">
        <v>179</v>
      </c>
      <c r="E97" s="2">
        <v>5000</v>
      </c>
      <c r="F97" s="98">
        <v>5000</v>
      </c>
      <c r="G97" s="4"/>
      <c r="H97" s="7">
        <f t="shared" si="41"/>
        <v>0</v>
      </c>
      <c r="I97" s="2"/>
      <c r="J97" s="2"/>
      <c r="K97" s="41">
        <f t="shared" ref="K97:K108" si="43">SUM(L97:O97)</f>
        <v>0</v>
      </c>
      <c r="L97" s="2"/>
      <c r="M97" s="2"/>
      <c r="N97" s="2"/>
      <c r="O97" s="2"/>
      <c r="P97" s="41">
        <f t="shared" ref="P97:P108" si="44">SUM(Q97:T97)</f>
        <v>0</v>
      </c>
      <c r="Q97" s="2"/>
      <c r="R97" s="2"/>
      <c r="S97" s="2"/>
      <c r="T97" s="2"/>
      <c r="U97" s="46">
        <f t="shared" ref="U97:U108" si="45">SUM(V97:Y97)</f>
        <v>0</v>
      </c>
      <c r="V97" s="2"/>
      <c r="W97" s="2"/>
      <c r="X97" s="2"/>
      <c r="Y97" s="2"/>
      <c r="Z97" s="2"/>
      <c r="AA97" s="2"/>
    </row>
    <row r="98" spans="1:29" s="8" customFormat="1" ht="24" hidden="1" x14ac:dyDescent="0.25">
      <c r="A98" s="5" t="s">
        <v>108</v>
      </c>
      <c r="B98" s="1" t="s">
        <v>8</v>
      </c>
      <c r="C98" s="1">
        <v>226</v>
      </c>
      <c r="D98" s="25" t="s">
        <v>167</v>
      </c>
      <c r="E98" s="2">
        <v>7500</v>
      </c>
      <c r="F98" s="98"/>
      <c r="G98" s="4">
        <v>7500</v>
      </c>
      <c r="H98" s="7">
        <f t="shared" si="41"/>
        <v>0</v>
      </c>
      <c r="I98" s="2"/>
      <c r="J98" s="2"/>
      <c r="K98" s="41">
        <f t="shared" si="43"/>
        <v>0</v>
      </c>
      <c r="L98" s="2"/>
      <c r="M98" s="2"/>
      <c r="N98" s="2"/>
      <c r="O98" s="2"/>
      <c r="P98" s="41">
        <f t="shared" si="44"/>
        <v>0</v>
      </c>
      <c r="Q98" s="2"/>
      <c r="R98" s="2"/>
      <c r="S98" s="2"/>
      <c r="T98" s="2"/>
      <c r="U98" s="77">
        <f t="shared" si="45"/>
        <v>0</v>
      </c>
      <c r="V98" s="2"/>
      <c r="W98" s="2"/>
      <c r="X98" s="2"/>
      <c r="Y98" s="2"/>
      <c r="Z98" s="2"/>
      <c r="AA98" s="2"/>
    </row>
    <row r="99" spans="1:29" s="8" customFormat="1" ht="24" hidden="1" x14ac:dyDescent="0.25">
      <c r="A99" s="5" t="s">
        <v>109</v>
      </c>
      <c r="B99" s="1" t="s">
        <v>1</v>
      </c>
      <c r="C99" s="1">
        <v>226</v>
      </c>
      <c r="D99" s="25" t="s">
        <v>168</v>
      </c>
      <c r="E99" s="2">
        <v>343175.05</v>
      </c>
      <c r="F99" s="98">
        <v>343175.05</v>
      </c>
      <c r="G99" s="4"/>
      <c r="H99" s="7">
        <f t="shared" si="41"/>
        <v>0</v>
      </c>
      <c r="I99" s="2"/>
      <c r="J99" s="2"/>
      <c r="K99" s="41">
        <f t="shared" si="43"/>
        <v>0</v>
      </c>
      <c r="L99" s="2"/>
      <c r="M99" s="2"/>
      <c r="N99" s="2"/>
      <c r="O99" s="2"/>
      <c r="P99" s="41">
        <f t="shared" si="44"/>
        <v>0</v>
      </c>
      <c r="Q99" s="2"/>
      <c r="R99" s="2"/>
      <c r="S99" s="2"/>
      <c r="T99" s="2"/>
      <c r="U99" s="77">
        <f t="shared" si="45"/>
        <v>0</v>
      </c>
      <c r="V99" s="2"/>
      <c r="W99" s="2"/>
      <c r="X99" s="2"/>
      <c r="Y99" s="2"/>
      <c r="Z99" s="2"/>
      <c r="AA99" s="2"/>
    </row>
    <row r="100" spans="1:29" s="8" customFormat="1" ht="27" hidden="1" customHeight="1" x14ac:dyDescent="0.25">
      <c r="A100" s="5" t="s">
        <v>110</v>
      </c>
      <c r="B100" s="1" t="s">
        <v>1</v>
      </c>
      <c r="C100" s="1">
        <v>226</v>
      </c>
      <c r="D100" s="25" t="s">
        <v>181</v>
      </c>
      <c r="E100" s="2">
        <v>19641.689999999999</v>
      </c>
      <c r="F100" s="98"/>
      <c r="G100" s="4">
        <v>19641.689999999999</v>
      </c>
      <c r="H100" s="7">
        <f t="shared" si="41"/>
        <v>0</v>
      </c>
      <c r="I100" s="2"/>
      <c r="J100" s="2"/>
      <c r="K100" s="41">
        <f t="shared" si="43"/>
        <v>0</v>
      </c>
      <c r="L100" s="2"/>
      <c r="M100" s="2"/>
      <c r="N100" s="2"/>
      <c r="O100" s="2"/>
      <c r="P100" s="41">
        <f t="shared" si="44"/>
        <v>0</v>
      </c>
      <c r="Q100" s="2"/>
      <c r="R100" s="2"/>
      <c r="S100" s="2"/>
      <c r="T100" s="2"/>
      <c r="U100" s="77">
        <f t="shared" si="45"/>
        <v>0</v>
      </c>
      <c r="V100" s="2"/>
      <c r="W100" s="2"/>
      <c r="X100" s="2"/>
      <c r="Y100" s="2"/>
      <c r="Z100" s="2"/>
      <c r="AA100" s="2"/>
    </row>
    <row r="101" spans="1:29" s="8" customFormat="1" ht="36" hidden="1" x14ac:dyDescent="0.25">
      <c r="A101" s="5" t="s">
        <v>111</v>
      </c>
      <c r="B101" s="1" t="s">
        <v>11</v>
      </c>
      <c r="C101" s="1">
        <v>226</v>
      </c>
      <c r="D101" s="25" t="s">
        <v>123</v>
      </c>
      <c r="E101" s="2">
        <v>1576395</v>
      </c>
      <c r="F101" s="98"/>
      <c r="G101" s="4">
        <v>1576395</v>
      </c>
      <c r="H101" s="7">
        <f t="shared" si="41"/>
        <v>0</v>
      </c>
      <c r="I101" s="2"/>
      <c r="J101" s="2"/>
      <c r="K101" s="41">
        <f t="shared" si="43"/>
        <v>0</v>
      </c>
      <c r="L101" s="2"/>
      <c r="M101" s="2"/>
      <c r="N101" s="2"/>
      <c r="O101" s="2"/>
      <c r="P101" s="41">
        <f t="shared" si="44"/>
        <v>0</v>
      </c>
      <c r="Q101" s="2"/>
      <c r="R101" s="2"/>
      <c r="S101" s="2"/>
      <c r="T101" s="2"/>
      <c r="U101" s="77">
        <f t="shared" si="45"/>
        <v>0</v>
      </c>
      <c r="V101" s="2"/>
      <c r="W101" s="2"/>
      <c r="X101" s="2"/>
      <c r="Y101" s="2"/>
      <c r="Z101" s="2"/>
      <c r="AA101" s="2"/>
    </row>
    <row r="102" spans="1:29" s="65" customFormat="1" ht="24" hidden="1" x14ac:dyDescent="0.25">
      <c r="A102" s="60" t="s">
        <v>112</v>
      </c>
      <c r="B102" s="61" t="s">
        <v>20</v>
      </c>
      <c r="C102" s="61">
        <v>226</v>
      </c>
      <c r="D102" s="66" t="s">
        <v>130</v>
      </c>
      <c r="E102" s="7">
        <v>151286.91</v>
      </c>
      <c r="F102" s="98"/>
      <c r="G102" s="4">
        <v>7746.41</v>
      </c>
      <c r="H102" s="7">
        <f t="shared" si="41"/>
        <v>143540.5</v>
      </c>
      <c r="I102" s="7"/>
      <c r="J102" s="7"/>
      <c r="K102" s="63">
        <f t="shared" si="43"/>
        <v>143540.5</v>
      </c>
      <c r="L102" s="7"/>
      <c r="M102" s="7"/>
      <c r="N102" s="7"/>
      <c r="O102" s="7">
        <v>143540.5</v>
      </c>
      <c r="P102" s="63">
        <f t="shared" si="44"/>
        <v>143540.5</v>
      </c>
      <c r="Q102" s="7"/>
      <c r="R102" s="7"/>
      <c r="S102" s="7"/>
      <c r="T102" s="7">
        <v>143540.5</v>
      </c>
      <c r="U102" s="64">
        <f t="shared" si="45"/>
        <v>13297.08</v>
      </c>
      <c r="V102" s="7"/>
      <c r="W102" s="7"/>
      <c r="X102" s="7"/>
      <c r="Y102" s="7">
        <v>13297.08</v>
      </c>
      <c r="Z102" s="7">
        <f>T102-O102</f>
        <v>0</v>
      </c>
      <c r="AA102" s="7">
        <f>O102-Y102</f>
        <v>130243.42</v>
      </c>
    </row>
    <row r="103" spans="1:29" ht="24" hidden="1" x14ac:dyDescent="0.25">
      <c r="A103" s="168" t="s">
        <v>113</v>
      </c>
      <c r="B103" s="3" t="s">
        <v>12</v>
      </c>
      <c r="C103" s="3">
        <v>226</v>
      </c>
      <c r="D103" s="25" t="s">
        <v>135</v>
      </c>
      <c r="E103" s="2">
        <v>516212.6</v>
      </c>
      <c r="F103" s="98"/>
      <c r="G103" s="4">
        <v>154863.78</v>
      </c>
      <c r="H103" s="7">
        <f t="shared" si="41"/>
        <v>361348.81999999995</v>
      </c>
      <c r="I103" s="2"/>
      <c r="J103" s="2"/>
      <c r="K103" s="41">
        <f t="shared" si="43"/>
        <v>0</v>
      </c>
      <c r="L103" s="2"/>
      <c r="M103" s="2"/>
      <c r="N103" s="2"/>
      <c r="O103" s="2"/>
      <c r="P103" s="41">
        <f t="shared" si="44"/>
        <v>361348.82</v>
      </c>
      <c r="Q103" s="2"/>
      <c r="R103" s="2"/>
      <c r="S103" s="2"/>
      <c r="T103" s="2">
        <v>361348.82</v>
      </c>
      <c r="U103" s="46">
        <f t="shared" si="45"/>
        <v>0</v>
      </c>
      <c r="V103" s="2"/>
      <c r="W103" s="2"/>
      <c r="X103" s="2"/>
      <c r="Y103" s="2"/>
      <c r="Z103" s="2">
        <f>T103-O103</f>
        <v>361348.82</v>
      </c>
      <c r="AA103" s="2">
        <f>T103-Y103</f>
        <v>361348.82</v>
      </c>
    </row>
    <row r="104" spans="1:29" ht="24" hidden="1" x14ac:dyDescent="0.25">
      <c r="A104" s="168" t="s">
        <v>114</v>
      </c>
      <c r="B104" s="3" t="s">
        <v>13</v>
      </c>
      <c r="C104" s="3">
        <v>226</v>
      </c>
      <c r="D104" s="26" t="s">
        <v>141</v>
      </c>
      <c r="E104" s="2">
        <v>1125538.02</v>
      </c>
      <c r="F104" s="98"/>
      <c r="G104" s="4">
        <v>731599.71</v>
      </c>
      <c r="H104" s="7">
        <f t="shared" si="41"/>
        <v>393938.31000000006</v>
      </c>
      <c r="I104" s="2"/>
      <c r="J104" s="2"/>
      <c r="K104" s="41">
        <f t="shared" si="43"/>
        <v>0</v>
      </c>
      <c r="L104" s="2"/>
      <c r="M104" s="2"/>
      <c r="N104" s="2"/>
      <c r="O104" s="2"/>
      <c r="P104" s="41">
        <f t="shared" si="44"/>
        <v>393938.31</v>
      </c>
      <c r="Q104" s="2"/>
      <c r="R104" s="2"/>
      <c r="S104" s="2"/>
      <c r="T104" s="2">
        <v>393938.31</v>
      </c>
      <c r="U104" s="46">
        <f t="shared" si="45"/>
        <v>0</v>
      </c>
      <c r="V104" s="2"/>
      <c r="W104" s="2"/>
      <c r="X104" s="2"/>
      <c r="Y104" s="2"/>
      <c r="Z104" s="2">
        <f>T104-O104</f>
        <v>393938.31</v>
      </c>
      <c r="AA104" s="2">
        <f>T104-Y104</f>
        <v>393938.31</v>
      </c>
    </row>
    <row r="105" spans="1:29" s="65" customFormat="1" ht="24" hidden="1" x14ac:dyDescent="0.25">
      <c r="A105" s="60" t="s">
        <v>115</v>
      </c>
      <c r="B105" s="61" t="s">
        <v>15</v>
      </c>
      <c r="C105" s="61">
        <v>226</v>
      </c>
      <c r="D105" s="62" t="s">
        <v>160</v>
      </c>
      <c r="E105" s="7">
        <v>1226288.8400000001</v>
      </c>
      <c r="F105" s="98"/>
      <c r="G105" s="4"/>
      <c r="H105" s="7">
        <f t="shared" si="41"/>
        <v>1226288.8400000001</v>
      </c>
      <c r="I105" s="7"/>
      <c r="J105" s="7"/>
      <c r="K105" s="63">
        <f t="shared" si="43"/>
        <v>797087.75</v>
      </c>
      <c r="L105" s="7"/>
      <c r="M105" s="7"/>
      <c r="N105" s="7"/>
      <c r="O105" s="7">
        <v>797087.75</v>
      </c>
      <c r="P105" s="63">
        <f t="shared" si="44"/>
        <v>1226288.8400000001</v>
      </c>
      <c r="Q105" s="7"/>
      <c r="R105" s="7"/>
      <c r="S105" s="7"/>
      <c r="T105" s="7">
        <v>1226288.8400000001</v>
      </c>
      <c r="U105" s="64">
        <f t="shared" si="45"/>
        <v>797087.75</v>
      </c>
      <c r="V105" s="7"/>
      <c r="W105" s="7"/>
      <c r="X105" s="7"/>
      <c r="Y105" s="7">
        <v>797087.75</v>
      </c>
      <c r="Z105" s="7">
        <f>T105-O105</f>
        <v>429201.09000000008</v>
      </c>
      <c r="AA105" s="7">
        <f>Z105</f>
        <v>429201.09000000008</v>
      </c>
    </row>
    <row r="106" spans="1:29" s="65" customFormat="1" ht="24" hidden="1" x14ac:dyDescent="0.25">
      <c r="A106" s="60" t="s">
        <v>116</v>
      </c>
      <c r="B106" s="61" t="s">
        <v>14</v>
      </c>
      <c r="C106" s="61">
        <v>226</v>
      </c>
      <c r="D106" s="66" t="s">
        <v>234</v>
      </c>
      <c r="E106" s="7">
        <v>3458867.81</v>
      </c>
      <c r="F106" s="98"/>
      <c r="G106" s="4">
        <v>2248264.0699999998</v>
      </c>
      <c r="H106" s="7">
        <f>E106-F106-G106</f>
        <v>1210603.7400000002</v>
      </c>
      <c r="I106" s="7"/>
      <c r="J106" s="7"/>
      <c r="K106" s="63">
        <f t="shared" si="43"/>
        <v>1210603.74</v>
      </c>
      <c r="L106" s="7"/>
      <c r="M106" s="7"/>
      <c r="N106" s="7"/>
      <c r="O106" s="7">
        <v>1210603.74</v>
      </c>
      <c r="P106" s="63">
        <f t="shared" si="44"/>
        <v>1210603.74</v>
      </c>
      <c r="Q106" s="7"/>
      <c r="R106" s="7"/>
      <c r="S106" s="7"/>
      <c r="T106" s="7">
        <v>1210603.74</v>
      </c>
      <c r="U106" s="64">
        <f t="shared" si="45"/>
        <v>0</v>
      </c>
      <c r="V106" s="7"/>
      <c r="W106" s="7"/>
      <c r="X106" s="7"/>
      <c r="Y106" s="7">
        <v>0</v>
      </c>
      <c r="Z106" s="7">
        <f>T106-O106</f>
        <v>0</v>
      </c>
      <c r="AA106" s="7">
        <f>O106</f>
        <v>1210603.74</v>
      </c>
    </row>
    <row r="107" spans="1:29" ht="24" hidden="1" x14ac:dyDescent="0.25">
      <c r="A107" s="168" t="s">
        <v>117</v>
      </c>
      <c r="B107" s="3" t="s">
        <v>21</v>
      </c>
      <c r="C107" s="3">
        <v>226</v>
      </c>
      <c r="D107" s="25" t="s">
        <v>175</v>
      </c>
      <c r="E107" s="2">
        <v>99325</v>
      </c>
      <c r="F107" s="98"/>
      <c r="G107" s="4">
        <v>99325</v>
      </c>
      <c r="H107" s="7">
        <f>E107-F107-G107</f>
        <v>0</v>
      </c>
      <c r="I107" s="2"/>
      <c r="J107" s="2"/>
      <c r="K107" s="41">
        <f t="shared" si="43"/>
        <v>0</v>
      </c>
      <c r="L107" s="2"/>
      <c r="M107" s="2"/>
      <c r="N107" s="2"/>
      <c r="O107" s="2"/>
      <c r="P107" s="41">
        <f t="shared" si="44"/>
        <v>0</v>
      </c>
      <c r="Q107" s="2"/>
      <c r="R107" s="2"/>
      <c r="S107" s="2"/>
      <c r="T107" s="2"/>
      <c r="U107" s="46">
        <f t="shared" si="45"/>
        <v>0</v>
      </c>
      <c r="V107" s="2"/>
      <c r="W107" s="2"/>
      <c r="X107" s="2"/>
      <c r="Y107" s="2"/>
      <c r="Z107" s="2"/>
      <c r="AA107" s="2"/>
    </row>
    <row r="108" spans="1:29" s="65" customFormat="1" ht="63" hidden="1" customHeight="1" x14ac:dyDescent="0.25">
      <c r="A108" s="60" t="s">
        <v>218</v>
      </c>
      <c r="B108" s="61" t="s">
        <v>208</v>
      </c>
      <c r="C108" s="61">
        <v>226</v>
      </c>
      <c r="D108" s="66" t="s">
        <v>219</v>
      </c>
      <c r="E108" s="7">
        <v>58020.91</v>
      </c>
      <c r="F108" s="98"/>
      <c r="G108" s="4"/>
      <c r="H108" s="7">
        <f>E108-F108-G108</f>
        <v>58020.91</v>
      </c>
      <c r="I108" s="7"/>
      <c r="J108" s="7"/>
      <c r="K108" s="63">
        <f t="shared" si="43"/>
        <v>58020.91</v>
      </c>
      <c r="L108" s="7"/>
      <c r="M108" s="7"/>
      <c r="N108" s="7"/>
      <c r="O108" s="7">
        <v>58020.91</v>
      </c>
      <c r="P108" s="63">
        <f t="shared" si="44"/>
        <v>58020.91</v>
      </c>
      <c r="Q108" s="7"/>
      <c r="R108" s="7"/>
      <c r="S108" s="7"/>
      <c r="T108" s="7">
        <v>58020.91</v>
      </c>
      <c r="U108" s="64">
        <f t="shared" si="45"/>
        <v>0</v>
      </c>
      <c r="V108" s="7"/>
      <c r="W108" s="7"/>
      <c r="X108" s="7"/>
      <c r="Y108" s="7">
        <v>0</v>
      </c>
      <c r="Z108" s="7">
        <f>T108-O108</f>
        <v>0</v>
      </c>
      <c r="AA108" s="7">
        <f>O108</f>
        <v>58020.91</v>
      </c>
    </row>
    <row r="109" spans="1:29" s="65" customFormat="1" ht="48.75" hidden="1" customHeight="1" x14ac:dyDescent="0.25">
      <c r="A109" s="60" t="s">
        <v>250</v>
      </c>
      <c r="B109" s="68" t="s">
        <v>248</v>
      </c>
      <c r="C109" s="68">
        <v>226</v>
      </c>
      <c r="D109" s="121" t="s">
        <v>308</v>
      </c>
      <c r="E109" s="7">
        <v>1239</v>
      </c>
      <c r="F109" s="98"/>
      <c r="G109" s="4"/>
      <c r="H109" s="7">
        <f>E109-F109-G109</f>
        <v>1239</v>
      </c>
      <c r="I109" s="7"/>
      <c r="J109" s="7"/>
      <c r="K109" s="63">
        <f>SUM(L109:O109)</f>
        <v>0</v>
      </c>
      <c r="L109" s="7"/>
      <c r="M109" s="7"/>
      <c r="N109" s="7"/>
      <c r="O109" s="7"/>
      <c r="P109" s="63">
        <f>SUM(Q109:T109)</f>
        <v>1239</v>
      </c>
      <c r="Q109" s="7"/>
      <c r="R109" s="7"/>
      <c r="S109" s="7"/>
      <c r="T109" s="7">
        <v>1239</v>
      </c>
      <c r="U109" s="64">
        <f>SUM(V109:Y109)</f>
        <v>0</v>
      </c>
      <c r="V109" s="7"/>
      <c r="W109" s="7"/>
      <c r="X109" s="7"/>
      <c r="Y109" s="7">
        <v>0</v>
      </c>
      <c r="Z109" s="7">
        <f>T109-O109</f>
        <v>1239</v>
      </c>
      <c r="AA109" s="7">
        <f>T109-O109</f>
        <v>1239</v>
      </c>
    </row>
    <row r="110" spans="1:29" ht="63" hidden="1" customHeight="1" x14ac:dyDescent="0.25">
      <c r="A110" s="314" t="s">
        <v>227</v>
      </c>
      <c r="B110" s="315"/>
      <c r="C110" s="12">
        <v>310</v>
      </c>
      <c r="D110" s="51"/>
      <c r="E110" s="52"/>
      <c r="F110" s="99"/>
      <c r="G110" s="81"/>
      <c r="H110" s="90"/>
      <c r="I110" s="53"/>
      <c r="J110" s="53"/>
      <c r="K110" s="54">
        <f>SUM(L110:O110)</f>
        <v>7468811.9600000205</v>
      </c>
      <c r="L110" s="53">
        <f>82216230.19-L7-L20-L35-L48-L62-L78-L95</f>
        <v>712066.32999999449</v>
      </c>
      <c r="M110" s="53">
        <f>198753355.68-M7-M20-M35-M48-M62-M78-M95</f>
        <v>1721427.6400000267</v>
      </c>
      <c r="N110" s="159">
        <f>22436479.71-N7-N20-N35-N48-N62-N78-N95</f>
        <v>5035317.9899999993</v>
      </c>
      <c r="O110" s="53">
        <f>251471036.86-O8-O21-O35-O49-O63-O78-O95</f>
        <v>0</v>
      </c>
      <c r="P110" s="54"/>
      <c r="Q110" s="53"/>
      <c r="R110" s="53"/>
      <c r="S110" s="53"/>
      <c r="T110" s="53"/>
      <c r="U110" s="54"/>
      <c r="V110" s="53"/>
      <c r="W110" s="53"/>
      <c r="X110" s="53"/>
      <c r="Y110" s="53"/>
      <c r="Z110" s="53">
        <f>0-N110</f>
        <v>-5035317.9899999993</v>
      </c>
      <c r="AA110" s="53"/>
    </row>
    <row r="111" spans="1:29" ht="32.25" hidden="1" customHeight="1" x14ac:dyDescent="0.25">
      <c r="A111" s="314" t="s">
        <v>237</v>
      </c>
      <c r="B111" s="315"/>
      <c r="C111" s="12">
        <v>226</v>
      </c>
      <c r="D111" s="51"/>
      <c r="E111" s="52"/>
      <c r="F111" s="99"/>
      <c r="G111" s="81"/>
      <c r="H111" s="90"/>
      <c r="I111" s="53"/>
      <c r="J111" s="53"/>
      <c r="K111" s="54">
        <f>SUM(L111:O111)</f>
        <v>7875345.5599999987</v>
      </c>
      <c r="L111" s="53">
        <v>0</v>
      </c>
      <c r="M111" s="53">
        <v>0</v>
      </c>
      <c r="N111" s="53">
        <v>0</v>
      </c>
      <c r="O111" s="159">
        <f>15518369.49-(O9+O10+O11+O12+O13+O14+O15+O16+O17+O18+O22+O23+O24+O25+O26+O27+O28+O29+O30+O31+O37+O38+O39+O40+O41+O42+O43+O44+O45+O46+O50+O51+O52+O53+O54+O55+O56+O57+O58+O59+O60+O64+O65+O66+O67+O68+O69+O70+O71+O72+O73+O74+O80+O81+O82+O83+O84+O85+O86+O87+O88+O89+O90+O91+O97+O98+O99+O100+O101+O102+O103+O104+O105+O106+O107+O108)</f>
        <v>7875345.5599999987</v>
      </c>
      <c r="P111" s="54"/>
      <c r="Q111" s="53"/>
      <c r="R111" s="53"/>
      <c r="S111" s="53"/>
      <c r="T111" s="55"/>
      <c r="U111" s="54"/>
      <c r="V111" s="53"/>
      <c r="W111" s="53"/>
      <c r="X111" s="53"/>
      <c r="Y111" s="53"/>
      <c r="Z111" s="53">
        <f>0-O111</f>
        <v>-7875345.5599999987</v>
      </c>
      <c r="AA111" s="53"/>
    </row>
    <row r="112" spans="1:29" s="20" customFormat="1" ht="42.75" hidden="1" customHeight="1" x14ac:dyDescent="0.25">
      <c r="A112" s="17" t="s">
        <v>224</v>
      </c>
      <c r="B112" s="18" t="s">
        <v>226</v>
      </c>
      <c r="C112" s="18"/>
      <c r="D112" s="18"/>
      <c r="E112" s="48">
        <f>E7+E20+E33+E48+E62+E76+E93</f>
        <v>898688847.67000008</v>
      </c>
      <c r="F112" s="109">
        <f t="shared" ref="F112:H113" si="46">F7+F20+F33+F48+F62+F76+F93</f>
        <v>1656913.57</v>
      </c>
      <c r="G112" s="115">
        <f t="shared" si="46"/>
        <v>92600573.589999989</v>
      </c>
      <c r="H112" s="91">
        <f t="shared" si="46"/>
        <v>804431360.50999987</v>
      </c>
      <c r="I112" s="19">
        <f>I7+I20+I33+I48+I76+I93+I62</f>
        <v>11162.53</v>
      </c>
      <c r="J112" s="19">
        <f>E112/I112</f>
        <v>80509.422834249941</v>
      </c>
      <c r="K112" s="42">
        <f>K7+K20+K33+K48+K76+K93+K62+K110+K111</f>
        <v>576118624.92999995</v>
      </c>
      <c r="L112" s="19">
        <f>L7+L20+L33+L48+L76+L93+L62+L110+L111</f>
        <v>85884580.719999999</v>
      </c>
      <c r="M112" s="19">
        <f>M7+M20+M33+M48+M76+M93+M62+M110+M111</f>
        <v>200360521.74000001</v>
      </c>
      <c r="N112" s="19">
        <f>N7+N20+N33+N48+N76+N93+N62+N110+N111</f>
        <v>22884116.120000001</v>
      </c>
      <c r="O112" s="19">
        <f>O7+O20+O33+O48+O76+O93+O62+O110+O111</f>
        <v>266989406.34999996</v>
      </c>
      <c r="P112" s="42">
        <f>P7+P20+P33+P48+P62+P76+P93</f>
        <v>577368171.49000001</v>
      </c>
      <c r="Q112" s="19">
        <f t="shared" ref="Q112:Y112" si="47">Q7+Q20+Q33+Q48+Q76+Q93+Q62</f>
        <v>85172514.390000001</v>
      </c>
      <c r="R112" s="19">
        <f t="shared" si="47"/>
        <v>198639094.09999999</v>
      </c>
      <c r="S112" s="19">
        <f t="shared" si="47"/>
        <v>24082761.52</v>
      </c>
      <c r="T112" s="19">
        <f t="shared" si="47"/>
        <v>269473801.47999996</v>
      </c>
      <c r="U112" s="42">
        <f t="shared" si="47"/>
        <v>194040037.12999997</v>
      </c>
      <c r="V112" s="19">
        <f t="shared" si="47"/>
        <v>47585285.390000001</v>
      </c>
      <c r="W112" s="19">
        <f t="shared" si="47"/>
        <v>115049452.25</v>
      </c>
      <c r="X112" s="19">
        <f t="shared" si="47"/>
        <v>13797903.809999999</v>
      </c>
      <c r="Y112" s="19">
        <f t="shared" si="47"/>
        <v>17607395.68</v>
      </c>
      <c r="Z112" s="19">
        <f>Z7+Z20+Z33+Z48+Z76+Z93+Z62+Z110+Z111</f>
        <v>3683040.5300000012</v>
      </c>
      <c r="AA112" s="19">
        <f>AA7+AA20+AA33+AA48+AA76+AA93+AA62</f>
        <v>262151263.51000002</v>
      </c>
      <c r="AB112" s="50">
        <f>SUM(AB113:AB115)</f>
        <v>262151263.51000002</v>
      </c>
      <c r="AC112" s="49"/>
    </row>
    <row r="113" spans="1:31" s="20" customFormat="1" ht="16.5" hidden="1" customHeight="1" x14ac:dyDescent="0.25">
      <c r="A113" s="17"/>
      <c r="B113" s="47" t="s">
        <v>193</v>
      </c>
      <c r="C113" s="18">
        <v>310</v>
      </c>
      <c r="D113" s="18"/>
      <c r="E113" s="19">
        <f>E8+E21+E34+E49+E63+E77+E94</f>
        <v>615408104.99000001</v>
      </c>
      <c r="F113" s="110">
        <f t="shared" si="46"/>
        <v>0</v>
      </c>
      <c r="G113" s="116">
        <f t="shared" si="46"/>
        <v>53558302.990000002</v>
      </c>
      <c r="H113" s="92">
        <f t="shared" si="46"/>
        <v>561849802</v>
      </c>
      <c r="I113" s="19"/>
      <c r="J113" s="19"/>
      <c r="K113" s="42">
        <f>K8+K21+K35+K49+K63+K78+K95+K110</f>
        <v>554877102.44000006</v>
      </c>
      <c r="L113" s="19">
        <f t="shared" ref="L113:Y113" si="48">L8+L21+L35+L49+L63+L78+L95+L110</f>
        <v>82216230.189999998</v>
      </c>
      <c r="M113" s="19">
        <f t="shared" si="48"/>
        <v>198753355.67999998</v>
      </c>
      <c r="N113" s="19">
        <f>N8+N21+N35+N49+N63+N78+N95+N110</f>
        <v>22436479.710000001</v>
      </c>
      <c r="O113" s="19">
        <f t="shared" si="48"/>
        <v>251471036.86000001</v>
      </c>
      <c r="P113" s="42">
        <f t="shared" si="48"/>
        <v>553642253.86999989</v>
      </c>
      <c r="Q113" s="19">
        <f t="shared" si="48"/>
        <v>81504163.859999999</v>
      </c>
      <c r="R113" s="19">
        <f t="shared" si="48"/>
        <v>197031928.03999996</v>
      </c>
      <c r="S113" s="19">
        <f t="shared" si="48"/>
        <v>23635125.109999999</v>
      </c>
      <c r="T113" s="19">
        <f t="shared" si="48"/>
        <v>251471036.86000001</v>
      </c>
      <c r="U113" s="42">
        <f t="shared" si="48"/>
        <v>192415991.38</v>
      </c>
      <c r="V113" s="19">
        <f t="shared" si="48"/>
        <v>47585285.390000001</v>
      </c>
      <c r="W113" s="19">
        <f t="shared" si="48"/>
        <v>115049452.25</v>
      </c>
      <c r="X113" s="19">
        <f t="shared" si="48"/>
        <v>13797903.810000001</v>
      </c>
      <c r="Y113" s="19">
        <f t="shared" si="48"/>
        <v>15983349.93</v>
      </c>
      <c r="Z113" s="19">
        <f>Z8+Z21+Z35+Z49+Z63+Z78+Z95+Z110</f>
        <v>1198645.4000000004</v>
      </c>
      <c r="AA113" s="19">
        <f>AA8+AA21+AA35+AA49+AA63+AA78+AA95+AA110</f>
        <v>245324908.22999999</v>
      </c>
      <c r="AB113" s="50">
        <f>S113-N113+N113-X113+O113-Y113</f>
        <v>245324908.23000002</v>
      </c>
      <c r="AC113" s="49"/>
    </row>
    <row r="114" spans="1:31" s="20" customFormat="1" ht="16.5" hidden="1" customHeight="1" x14ac:dyDescent="0.25">
      <c r="A114" s="17"/>
      <c r="B114" s="47" t="s">
        <v>193</v>
      </c>
      <c r="C114" s="18">
        <v>226</v>
      </c>
      <c r="D114" s="18"/>
      <c r="E114" s="19">
        <f t="shared" ref="E114:Z114" si="49">E9+E10+E11+E12+E13+E14+E15+E16+E17+E18+E19+E22+E23+E24+E25+E26+E27+E28+E29+E30+E31+E32+E37+E38+E39+E40+E41+E42+E43+E44+E45+E46+E47+E50+E51+E52+E53+E54+E55+E56+E57+E58+E59+E60+E61+E64+E65+E66+E67+E68+E69+E70+E71+E72+E73+E74+E75+E80+E81+E82+E83+E84+E85+E86+E87+E88+E89+E90+E91+E92+E97+E98+E99+E100+E101+E102+E103+E104+E105+E106+E107+E108+E109+E111</f>
        <v>44498236.680000007</v>
      </c>
      <c r="F114" s="110">
        <f t="shared" si="49"/>
        <v>1656913.57</v>
      </c>
      <c r="G114" s="116">
        <f t="shared" si="49"/>
        <v>27322953.620000005</v>
      </c>
      <c r="H114" s="92">
        <f t="shared" si="49"/>
        <v>15518369.49</v>
      </c>
      <c r="I114" s="19">
        <f t="shared" si="49"/>
        <v>0</v>
      </c>
      <c r="J114" s="19">
        <f t="shared" si="49"/>
        <v>0</v>
      </c>
      <c r="K114" s="42">
        <f t="shared" si="49"/>
        <v>15518369.49</v>
      </c>
      <c r="L114" s="19">
        <f t="shared" si="49"/>
        <v>0</v>
      </c>
      <c r="M114" s="19">
        <f t="shared" si="49"/>
        <v>0</v>
      </c>
      <c r="N114" s="19">
        <f t="shared" si="49"/>
        <v>0</v>
      </c>
      <c r="O114" s="19">
        <f t="shared" si="49"/>
        <v>15518369.49</v>
      </c>
      <c r="P114" s="42">
        <f t="shared" si="49"/>
        <v>15518369.49</v>
      </c>
      <c r="Q114" s="19">
        <f t="shared" si="49"/>
        <v>0</v>
      </c>
      <c r="R114" s="19">
        <f t="shared" si="49"/>
        <v>0</v>
      </c>
      <c r="S114" s="19">
        <f t="shared" si="49"/>
        <v>0</v>
      </c>
      <c r="T114" s="19">
        <f t="shared" si="49"/>
        <v>15518369.49</v>
      </c>
      <c r="U114" s="42">
        <f t="shared" si="49"/>
        <v>1624045.75</v>
      </c>
      <c r="V114" s="19">
        <f t="shared" si="49"/>
        <v>0</v>
      </c>
      <c r="W114" s="19">
        <f t="shared" si="49"/>
        <v>0</v>
      </c>
      <c r="X114" s="19">
        <f t="shared" si="49"/>
        <v>0</v>
      </c>
      <c r="Y114" s="19">
        <f t="shared" si="49"/>
        <v>1624045.75</v>
      </c>
      <c r="Z114" s="19">
        <f t="shared" si="49"/>
        <v>0</v>
      </c>
      <c r="AA114" s="19">
        <f>AA9+AA10+AA11+AA12+AA13+AA14+AA15+AA16+AA17+AA18+AA19+AA22+AA23+AA24+AA25+AA26+AA27+AA28+AA29+AA30+AA31+AA32+AA37+AA38+AA39+AA40+AA41+AA42+AA43+AA44+AA45+AA46+AA47+AA50+AA51+AA52+AA53+AA54+AA55+AA56+AA57+AA58+AA59+AA60+AA61+AA64+AA65+AA66+AA67+AA68+AA69+AA70+AA71+AA72+AA73+AA74+AA75+AA80+AA81+AA82+AA83+AA84+AA85+AA86+AA87+AA88+AA89+AA90+AA91+AA92+AA97+AA98+AA99+AA100+AA101+AA102+AA103+AA104+AA105+AA106+AA107+AA108+AA109+AA111</f>
        <v>13894323.740000002</v>
      </c>
      <c r="AB114" s="50">
        <f>T114-O114+K114-Y114</f>
        <v>13894323.74</v>
      </c>
      <c r="AC114" s="49"/>
      <c r="AD114" s="50"/>
      <c r="AE114" s="50"/>
    </row>
    <row r="115" spans="1:31" s="20" customFormat="1" ht="16.5" hidden="1" customHeight="1" x14ac:dyDescent="0.25">
      <c r="A115" s="17"/>
      <c r="B115" s="47" t="s">
        <v>194</v>
      </c>
      <c r="C115" s="18">
        <v>310</v>
      </c>
      <c r="D115" s="18"/>
      <c r="E115" s="19">
        <f>E36+E79+E96</f>
        <v>8207548.1300000008</v>
      </c>
      <c r="F115" s="110">
        <f>F36+F79+F96</f>
        <v>0</v>
      </c>
      <c r="G115" s="116">
        <f>G36+G79+G96</f>
        <v>0</v>
      </c>
      <c r="H115" s="92">
        <f>H36+H79+H96</f>
        <v>8207548.1300000008</v>
      </c>
      <c r="I115" s="19"/>
      <c r="J115" s="19"/>
      <c r="K115" s="42">
        <f>K36+K79+K96</f>
        <v>5723153</v>
      </c>
      <c r="L115" s="19">
        <f t="shared" ref="L115:AA115" si="50">L36+L79+L96</f>
        <v>3668350.53</v>
      </c>
      <c r="M115" s="19">
        <f t="shared" si="50"/>
        <v>1607166.0599999998</v>
      </c>
      <c r="N115" s="19">
        <f t="shared" si="50"/>
        <v>447636.41</v>
      </c>
      <c r="O115" s="19">
        <f t="shared" si="50"/>
        <v>0</v>
      </c>
      <c r="P115" s="42">
        <f t="shared" si="50"/>
        <v>8207548.1299999999</v>
      </c>
      <c r="Q115" s="19">
        <f t="shared" si="50"/>
        <v>3668350.53</v>
      </c>
      <c r="R115" s="19">
        <f t="shared" si="50"/>
        <v>1607166.0599999998</v>
      </c>
      <c r="S115" s="19">
        <f t="shared" si="50"/>
        <v>447636.41</v>
      </c>
      <c r="T115" s="19">
        <f t="shared" si="50"/>
        <v>2484395.13</v>
      </c>
      <c r="U115" s="42">
        <f t="shared" si="50"/>
        <v>0</v>
      </c>
      <c r="V115" s="19">
        <f t="shared" si="50"/>
        <v>0</v>
      </c>
      <c r="W115" s="19">
        <f t="shared" si="50"/>
        <v>0</v>
      </c>
      <c r="X115" s="19">
        <f t="shared" si="50"/>
        <v>0</v>
      </c>
      <c r="Y115" s="19">
        <f t="shared" si="50"/>
        <v>0</v>
      </c>
      <c r="Z115" s="19">
        <f>Z36+Z79+Z96</f>
        <v>2484395.13</v>
      </c>
      <c r="AA115" s="19">
        <f t="shared" si="50"/>
        <v>2932031.54</v>
      </c>
      <c r="AB115" s="50">
        <f>N115+T115</f>
        <v>2932031.54</v>
      </c>
      <c r="AC115" s="49"/>
    </row>
    <row r="116" spans="1:31" s="10" customFormat="1" ht="18.75" hidden="1" customHeight="1" x14ac:dyDescent="0.25">
      <c r="A116" s="316" t="s">
        <v>18</v>
      </c>
      <c r="B116" s="317"/>
      <c r="C116" s="317"/>
      <c r="D116" s="24"/>
      <c r="E116" s="24"/>
      <c r="F116" s="106"/>
      <c r="G116" s="113"/>
      <c r="H116" s="88"/>
      <c r="I116" s="24"/>
      <c r="J116" s="24"/>
      <c r="K116" s="43"/>
      <c r="L116" s="24"/>
      <c r="M116" s="24"/>
      <c r="N116" s="24"/>
      <c r="O116" s="24"/>
      <c r="P116" s="43"/>
      <c r="Q116" s="24"/>
      <c r="R116" s="24"/>
      <c r="S116" s="24"/>
      <c r="T116" s="24"/>
      <c r="U116" s="43"/>
      <c r="V116" s="24"/>
      <c r="W116" s="24"/>
      <c r="X116" s="24"/>
      <c r="Y116" s="24"/>
      <c r="Z116" s="24"/>
      <c r="AA116" s="72"/>
    </row>
    <row r="117" spans="1:31" s="14" customFormat="1" hidden="1" x14ac:dyDescent="0.25">
      <c r="A117" s="11" t="s">
        <v>34</v>
      </c>
      <c r="B117" s="16" t="s">
        <v>7</v>
      </c>
      <c r="C117" s="16"/>
      <c r="D117" s="74">
        <f>SUM(E118:E130)</f>
        <v>61282915.380000003</v>
      </c>
      <c r="E117" s="13">
        <f>SUM(E118:E131)</f>
        <v>61284154.380000003</v>
      </c>
      <c r="F117" s="102">
        <f>SUM(F118:F131)</f>
        <v>0</v>
      </c>
      <c r="G117" s="83">
        <f>SUM(G118:G131)</f>
        <v>2095750.42</v>
      </c>
      <c r="H117" s="93">
        <f>SUM(H118:H131)</f>
        <v>59188403.960000008</v>
      </c>
      <c r="I117" s="128">
        <v>993.41</v>
      </c>
      <c r="J117" s="13">
        <f>E117/I117</f>
        <v>61690.696067082077</v>
      </c>
      <c r="K117" s="40">
        <f t="shared" ref="K117:Z117" si="51">SUM(K118:K131)</f>
        <v>33390437.23</v>
      </c>
      <c r="L117" s="13">
        <f t="shared" si="51"/>
        <v>19156430.629999999</v>
      </c>
      <c r="M117" s="13">
        <f t="shared" si="51"/>
        <v>8964305.6500000004</v>
      </c>
      <c r="N117" s="13">
        <f t="shared" si="51"/>
        <v>2078872.96</v>
      </c>
      <c r="O117" s="13">
        <f t="shared" si="51"/>
        <v>3190827.99</v>
      </c>
      <c r="P117" s="40">
        <f t="shared" si="51"/>
        <v>59188403.960000008</v>
      </c>
      <c r="Q117" s="13">
        <f t="shared" si="51"/>
        <v>19156430.629999999</v>
      </c>
      <c r="R117" s="13">
        <f t="shared" si="51"/>
        <v>8964305.6500000004</v>
      </c>
      <c r="S117" s="13">
        <f t="shared" si="51"/>
        <v>4101598.73</v>
      </c>
      <c r="T117" s="13">
        <f t="shared" si="51"/>
        <v>26966068.949999999</v>
      </c>
      <c r="U117" s="40">
        <f t="shared" si="51"/>
        <v>14223897.330000002</v>
      </c>
      <c r="V117" s="13">
        <f t="shared" si="51"/>
        <v>6668281.7000000002</v>
      </c>
      <c r="W117" s="13">
        <f t="shared" si="51"/>
        <v>3120441.2</v>
      </c>
      <c r="X117" s="13">
        <f t="shared" si="51"/>
        <v>1427751.13</v>
      </c>
      <c r="Y117" s="13">
        <f t="shared" si="51"/>
        <v>3007423.3000000003</v>
      </c>
      <c r="Z117" s="40">
        <f t="shared" si="51"/>
        <v>25797966.73</v>
      </c>
      <c r="AA117" s="40">
        <f>SUM(AA118:AA131)</f>
        <v>26631254.25</v>
      </c>
    </row>
    <row r="118" spans="1:31" ht="48" hidden="1" x14ac:dyDescent="0.25">
      <c r="A118" s="168" t="s">
        <v>43</v>
      </c>
      <c r="B118" s="1" t="s">
        <v>32</v>
      </c>
      <c r="C118" s="3">
        <v>310</v>
      </c>
      <c r="D118" s="25" t="s">
        <v>266</v>
      </c>
      <c r="E118" s="2">
        <v>54404334.310000002</v>
      </c>
      <c r="F118" s="98"/>
      <c r="G118" s="4"/>
      <c r="H118" s="7">
        <f t="shared" ref="H118:H127" si="52">E118-F118-G118</f>
        <v>54404334.310000002</v>
      </c>
      <c r="I118" s="129">
        <v>993.41</v>
      </c>
      <c r="J118" s="36">
        <f>E118/I118</f>
        <v>54765.237223301563</v>
      </c>
      <c r="K118" s="41">
        <f>SUM(L118:O118)</f>
        <v>30199609.240000002</v>
      </c>
      <c r="L118" s="2">
        <f>5746929.19+13409501.44</f>
        <v>19156430.629999999</v>
      </c>
      <c r="M118" s="36">
        <v>8964305.6500000004</v>
      </c>
      <c r="N118" s="129">
        <v>2078872.96</v>
      </c>
      <c r="O118" s="36">
        <v>0</v>
      </c>
      <c r="P118" s="41">
        <f>SUM(Q118:T118)</f>
        <v>54404334.310000002</v>
      </c>
      <c r="Q118" s="36">
        <v>19156430.629999999</v>
      </c>
      <c r="R118" s="36">
        <v>8964305.6500000004</v>
      </c>
      <c r="S118" s="36">
        <v>4101598.73</v>
      </c>
      <c r="T118" s="36">
        <f>3967591.3+18214408</f>
        <v>22181999.300000001</v>
      </c>
      <c r="U118" s="46">
        <f>SUM(V118:Y118)</f>
        <v>11216474.030000001</v>
      </c>
      <c r="V118" s="36">
        <v>6668281.7000000002</v>
      </c>
      <c r="W118" s="36">
        <v>3120441.2</v>
      </c>
      <c r="X118" s="36">
        <v>1427751.13</v>
      </c>
      <c r="Y118" s="36">
        <v>0</v>
      </c>
      <c r="Z118" s="36">
        <f>S118-N118+T118</f>
        <v>24204725.07</v>
      </c>
      <c r="AA118" s="36">
        <f>Z118+N118-X118</f>
        <v>24855846.900000002</v>
      </c>
    </row>
    <row r="119" spans="1:31" s="8" customFormat="1" ht="24" hidden="1" x14ac:dyDescent="0.25">
      <c r="A119" s="5" t="s">
        <v>44</v>
      </c>
      <c r="B119" s="1" t="s">
        <v>8</v>
      </c>
      <c r="C119" s="1">
        <v>226</v>
      </c>
      <c r="D119" s="25" t="s">
        <v>169</v>
      </c>
      <c r="E119" s="2">
        <v>10000</v>
      </c>
      <c r="F119" s="98"/>
      <c r="G119" s="4">
        <v>10000</v>
      </c>
      <c r="H119" s="7">
        <f t="shared" si="52"/>
        <v>0</v>
      </c>
      <c r="I119" s="2"/>
      <c r="J119" s="2"/>
      <c r="K119" s="41">
        <f t="shared" ref="K119:K131" si="53">SUM(L119:O119)</f>
        <v>0</v>
      </c>
      <c r="L119" s="2"/>
      <c r="M119" s="2"/>
      <c r="N119" s="2"/>
      <c r="O119" s="2"/>
      <c r="P119" s="41">
        <f t="shared" ref="P119:P131" si="54">SUM(Q119:T119)</f>
        <v>0</v>
      </c>
      <c r="Q119" s="2"/>
      <c r="R119" s="2"/>
      <c r="S119" s="2"/>
      <c r="T119" s="2"/>
      <c r="U119" s="77">
        <f t="shared" ref="U119:U131" si="55">SUM(V119:Y119)</f>
        <v>0</v>
      </c>
      <c r="V119" s="2"/>
      <c r="W119" s="2"/>
      <c r="X119" s="2"/>
      <c r="Y119" s="2"/>
      <c r="Z119" s="2"/>
      <c r="AA119" s="2"/>
    </row>
    <row r="120" spans="1:31" s="8" customFormat="1" ht="24" hidden="1" x14ac:dyDescent="0.25">
      <c r="A120" s="5" t="s">
        <v>45</v>
      </c>
      <c r="B120" s="131" t="s">
        <v>1</v>
      </c>
      <c r="C120" s="1">
        <v>226</v>
      </c>
      <c r="D120" s="25" t="s">
        <v>166</v>
      </c>
      <c r="E120" s="2">
        <v>310000</v>
      </c>
      <c r="F120" s="98"/>
      <c r="G120" s="4">
        <v>310000</v>
      </c>
      <c r="H120" s="7">
        <f t="shared" si="52"/>
        <v>0</v>
      </c>
      <c r="I120" s="2"/>
      <c r="J120" s="2"/>
      <c r="K120" s="41">
        <f t="shared" si="53"/>
        <v>0</v>
      </c>
      <c r="L120" s="2"/>
      <c r="M120" s="2"/>
      <c r="N120" s="2"/>
      <c r="O120" s="2"/>
      <c r="P120" s="41">
        <f t="shared" si="54"/>
        <v>0</v>
      </c>
      <c r="Q120" s="2"/>
      <c r="R120" s="2"/>
      <c r="S120" s="2"/>
      <c r="T120" s="2"/>
      <c r="U120" s="77">
        <f t="shared" si="55"/>
        <v>0</v>
      </c>
      <c r="V120" s="2"/>
      <c r="W120" s="2"/>
      <c r="X120" s="2"/>
      <c r="Y120" s="2"/>
      <c r="Z120" s="2"/>
      <c r="AA120" s="2"/>
    </row>
    <row r="121" spans="1:31" s="8" customFormat="1" ht="36" hidden="1" x14ac:dyDescent="0.25">
      <c r="A121" s="5" t="s">
        <v>46</v>
      </c>
      <c r="B121" s="1" t="s">
        <v>11</v>
      </c>
      <c r="C121" s="1">
        <v>226</v>
      </c>
      <c r="D121" s="25" t="s">
        <v>204</v>
      </c>
      <c r="E121" s="2">
        <v>1400321.21</v>
      </c>
      <c r="F121" s="98"/>
      <c r="G121" s="4">
        <v>1400321.21</v>
      </c>
      <c r="H121" s="7">
        <f t="shared" si="52"/>
        <v>0</v>
      </c>
      <c r="I121" s="2"/>
      <c r="J121" s="2"/>
      <c r="K121" s="41">
        <f t="shared" si="53"/>
        <v>0</v>
      </c>
      <c r="L121" s="2"/>
      <c r="M121" s="2"/>
      <c r="N121" s="2"/>
      <c r="O121" s="2"/>
      <c r="P121" s="41">
        <f t="shared" si="54"/>
        <v>0</v>
      </c>
      <c r="Q121" s="2"/>
      <c r="R121" s="2"/>
      <c r="S121" s="2"/>
      <c r="T121" s="2"/>
      <c r="U121" s="77">
        <f t="shared" si="55"/>
        <v>0</v>
      </c>
      <c r="V121" s="2"/>
      <c r="W121" s="2"/>
      <c r="X121" s="2"/>
      <c r="Y121" s="2"/>
      <c r="Z121" s="2"/>
      <c r="AA121" s="2"/>
    </row>
    <row r="122" spans="1:31" s="65" customFormat="1" ht="24" hidden="1" x14ac:dyDescent="0.25">
      <c r="A122" s="60" t="s">
        <v>47</v>
      </c>
      <c r="B122" s="61" t="s">
        <v>20</v>
      </c>
      <c r="C122" s="61">
        <v>226</v>
      </c>
      <c r="D122" s="66" t="s">
        <v>206</v>
      </c>
      <c r="E122" s="7">
        <v>92210.74</v>
      </c>
      <c r="F122" s="98"/>
      <c r="G122" s="4"/>
      <c r="H122" s="7">
        <f t="shared" si="52"/>
        <v>92210.74</v>
      </c>
      <c r="I122" s="7"/>
      <c r="J122" s="7"/>
      <c r="K122" s="63">
        <f t="shared" si="53"/>
        <v>92210.74</v>
      </c>
      <c r="L122" s="7"/>
      <c r="M122" s="7"/>
      <c r="N122" s="7"/>
      <c r="O122" s="7">
        <v>92210.74</v>
      </c>
      <c r="P122" s="63">
        <f t="shared" si="54"/>
        <v>92210.74</v>
      </c>
      <c r="Q122" s="7"/>
      <c r="R122" s="7"/>
      <c r="S122" s="7"/>
      <c r="T122" s="7">
        <v>92210.74</v>
      </c>
      <c r="U122" s="64">
        <f t="shared" si="55"/>
        <v>2826.68</v>
      </c>
      <c r="V122" s="7"/>
      <c r="W122" s="7"/>
      <c r="X122" s="7"/>
      <c r="Y122" s="7">
        <v>2826.68</v>
      </c>
      <c r="Z122" s="7">
        <f t="shared" ref="Z122:Z127" si="56">T122-O122</f>
        <v>0</v>
      </c>
      <c r="AA122" s="7">
        <f>O122-Y122</f>
        <v>89384.060000000012</v>
      </c>
    </row>
    <row r="123" spans="1:31" ht="24" hidden="1" x14ac:dyDescent="0.25">
      <c r="A123" s="168" t="s">
        <v>48</v>
      </c>
      <c r="B123" s="3" t="s">
        <v>12</v>
      </c>
      <c r="C123" s="3">
        <v>226</v>
      </c>
      <c r="D123" s="25" t="s">
        <v>153</v>
      </c>
      <c r="E123" s="2">
        <v>348883.14</v>
      </c>
      <c r="F123" s="98"/>
      <c r="G123" s="4">
        <v>104664.94</v>
      </c>
      <c r="H123" s="7">
        <f t="shared" si="52"/>
        <v>244218.2</v>
      </c>
      <c r="I123" s="2"/>
      <c r="J123" s="2"/>
      <c r="K123" s="41">
        <f t="shared" si="53"/>
        <v>0</v>
      </c>
      <c r="L123" s="2"/>
      <c r="M123" s="2"/>
      <c r="N123" s="2"/>
      <c r="O123" s="2"/>
      <c r="P123" s="41">
        <f t="shared" si="54"/>
        <v>244218.2</v>
      </c>
      <c r="Q123" s="2"/>
      <c r="R123" s="2"/>
      <c r="S123" s="2"/>
      <c r="T123" s="2">
        <v>244218.2</v>
      </c>
      <c r="U123" s="46">
        <f t="shared" si="55"/>
        <v>0</v>
      </c>
      <c r="V123" s="2"/>
      <c r="W123" s="2"/>
      <c r="X123" s="2"/>
      <c r="Y123" s="2"/>
      <c r="Z123" s="2">
        <f t="shared" si="56"/>
        <v>244218.2</v>
      </c>
      <c r="AA123" s="2">
        <f>T123-Y123</f>
        <v>244218.2</v>
      </c>
    </row>
    <row r="124" spans="1:31" s="65" customFormat="1" ht="24" hidden="1" x14ac:dyDescent="0.25">
      <c r="A124" s="60" t="s">
        <v>49</v>
      </c>
      <c r="B124" s="61" t="s">
        <v>13</v>
      </c>
      <c r="C124" s="61">
        <v>226</v>
      </c>
      <c r="D124" s="62" t="s">
        <v>159</v>
      </c>
      <c r="E124" s="7">
        <v>692638.78</v>
      </c>
      <c r="F124" s="98"/>
      <c r="G124" s="4"/>
      <c r="H124" s="7">
        <f t="shared" si="52"/>
        <v>692638.78</v>
      </c>
      <c r="I124" s="7"/>
      <c r="J124" s="7"/>
      <c r="K124" s="63">
        <f t="shared" si="53"/>
        <v>450215.21</v>
      </c>
      <c r="L124" s="7"/>
      <c r="M124" s="7"/>
      <c r="N124" s="7"/>
      <c r="O124" s="7">
        <v>450215.21</v>
      </c>
      <c r="P124" s="63">
        <f t="shared" si="54"/>
        <v>692638.78</v>
      </c>
      <c r="Q124" s="7"/>
      <c r="R124" s="7"/>
      <c r="S124" s="7"/>
      <c r="T124" s="7">
        <v>692638.78</v>
      </c>
      <c r="U124" s="64">
        <f t="shared" si="55"/>
        <v>450215.21</v>
      </c>
      <c r="V124" s="7"/>
      <c r="W124" s="7"/>
      <c r="X124" s="7"/>
      <c r="Y124" s="7">
        <v>450215.21</v>
      </c>
      <c r="Z124" s="7">
        <f t="shared" si="56"/>
        <v>242423.57</v>
      </c>
      <c r="AA124" s="7">
        <f>T124-Y124</f>
        <v>242423.57</v>
      </c>
    </row>
    <row r="125" spans="1:31" s="65" customFormat="1" ht="24" hidden="1" x14ac:dyDescent="0.25">
      <c r="A125" s="60" t="s">
        <v>50</v>
      </c>
      <c r="B125" s="61" t="s">
        <v>15</v>
      </c>
      <c r="C125" s="61">
        <v>226</v>
      </c>
      <c r="D125" s="62" t="s">
        <v>158</v>
      </c>
      <c r="E125" s="7">
        <v>759625.01</v>
      </c>
      <c r="F125" s="98"/>
      <c r="G125" s="4"/>
      <c r="H125" s="7">
        <f t="shared" si="52"/>
        <v>759625.01</v>
      </c>
      <c r="I125" s="7"/>
      <c r="J125" s="7"/>
      <c r="K125" s="63">
        <f t="shared" si="53"/>
        <v>493756.26</v>
      </c>
      <c r="L125" s="7"/>
      <c r="M125" s="7"/>
      <c r="N125" s="7"/>
      <c r="O125" s="7">
        <v>493756.26</v>
      </c>
      <c r="P125" s="63">
        <f t="shared" si="54"/>
        <v>759625.01</v>
      </c>
      <c r="Q125" s="7"/>
      <c r="R125" s="7"/>
      <c r="S125" s="7"/>
      <c r="T125" s="7">
        <v>759625.01</v>
      </c>
      <c r="U125" s="64">
        <f t="shared" si="55"/>
        <v>493756.26</v>
      </c>
      <c r="V125" s="7"/>
      <c r="W125" s="7"/>
      <c r="X125" s="7"/>
      <c r="Y125" s="7">
        <v>493756.26</v>
      </c>
      <c r="Z125" s="7">
        <f t="shared" si="56"/>
        <v>265868.75</v>
      </c>
      <c r="AA125" s="7">
        <f>T125-Y125</f>
        <v>265868.75</v>
      </c>
    </row>
    <row r="126" spans="1:31" s="65" customFormat="1" ht="24" hidden="1" x14ac:dyDescent="0.25">
      <c r="A126" s="60" t="s">
        <v>51</v>
      </c>
      <c r="B126" s="61" t="s">
        <v>14</v>
      </c>
      <c r="C126" s="61">
        <v>226</v>
      </c>
      <c r="D126" s="66" t="s">
        <v>163</v>
      </c>
      <c r="E126" s="7">
        <v>2402088.98</v>
      </c>
      <c r="F126" s="98"/>
      <c r="G126" s="4"/>
      <c r="H126" s="7">
        <f t="shared" si="52"/>
        <v>2402088.98</v>
      </c>
      <c r="I126" s="7"/>
      <c r="J126" s="7"/>
      <c r="K126" s="63">
        <f t="shared" si="53"/>
        <v>1561357.84</v>
      </c>
      <c r="L126" s="7"/>
      <c r="M126" s="7"/>
      <c r="N126" s="7"/>
      <c r="O126" s="7">
        <v>1561357.84</v>
      </c>
      <c r="P126" s="63">
        <f t="shared" si="54"/>
        <v>2402088.98</v>
      </c>
      <c r="Q126" s="7"/>
      <c r="R126" s="7"/>
      <c r="S126" s="7"/>
      <c r="T126" s="7">
        <v>2402088.98</v>
      </c>
      <c r="U126" s="64">
        <f t="shared" si="55"/>
        <v>1561357.84</v>
      </c>
      <c r="V126" s="7"/>
      <c r="W126" s="7"/>
      <c r="X126" s="7"/>
      <c r="Y126" s="7">
        <v>1561357.84</v>
      </c>
      <c r="Z126" s="7">
        <f t="shared" si="56"/>
        <v>840731.1399999999</v>
      </c>
      <c r="AA126" s="7">
        <f>T126-Y126</f>
        <v>840731.1399999999</v>
      </c>
    </row>
    <row r="127" spans="1:31" s="65" customFormat="1" ht="36.6" hidden="1" customHeight="1" x14ac:dyDescent="0.25">
      <c r="A127" s="60" t="s">
        <v>35</v>
      </c>
      <c r="B127" s="68" t="s">
        <v>24</v>
      </c>
      <c r="C127" s="61">
        <v>226</v>
      </c>
      <c r="D127" s="66" t="s">
        <v>171</v>
      </c>
      <c r="E127" s="7">
        <v>99408</v>
      </c>
      <c r="F127" s="98"/>
      <c r="G127" s="4"/>
      <c r="H127" s="7">
        <f t="shared" si="52"/>
        <v>99408</v>
      </c>
      <c r="I127" s="7"/>
      <c r="J127" s="7"/>
      <c r="K127" s="63">
        <f t="shared" si="53"/>
        <v>99408</v>
      </c>
      <c r="L127" s="7"/>
      <c r="M127" s="7"/>
      <c r="N127" s="7"/>
      <c r="O127" s="7">
        <v>99408</v>
      </c>
      <c r="P127" s="63">
        <f t="shared" si="54"/>
        <v>99408</v>
      </c>
      <c r="Q127" s="7"/>
      <c r="R127" s="7"/>
      <c r="S127" s="7"/>
      <c r="T127" s="7">
        <v>99408</v>
      </c>
      <c r="U127" s="64">
        <f t="shared" si="55"/>
        <v>99408</v>
      </c>
      <c r="V127" s="7"/>
      <c r="W127" s="7"/>
      <c r="X127" s="7"/>
      <c r="Y127" s="7">
        <v>99408</v>
      </c>
      <c r="Z127" s="7">
        <f t="shared" si="56"/>
        <v>0</v>
      </c>
      <c r="AA127" s="7">
        <f>O127-Y127</f>
        <v>0</v>
      </c>
    </row>
    <row r="128" spans="1:31" ht="24" hidden="1" x14ac:dyDescent="0.25">
      <c r="A128" s="168" t="s">
        <v>118</v>
      </c>
      <c r="B128" s="6" t="s">
        <v>21</v>
      </c>
      <c r="C128" s="3">
        <v>226</v>
      </c>
      <c r="D128" s="25" t="s">
        <v>176</v>
      </c>
      <c r="E128" s="2">
        <v>99396</v>
      </c>
      <c r="F128" s="98"/>
      <c r="G128" s="4">
        <v>99396</v>
      </c>
      <c r="H128" s="7">
        <f>E128-F128-G128</f>
        <v>0</v>
      </c>
      <c r="I128" s="2"/>
      <c r="J128" s="2"/>
      <c r="K128" s="41">
        <f t="shared" si="53"/>
        <v>0</v>
      </c>
      <c r="L128" s="2"/>
      <c r="M128" s="2"/>
      <c r="N128" s="2"/>
      <c r="O128" s="2"/>
      <c r="P128" s="41">
        <f t="shared" si="54"/>
        <v>0</v>
      </c>
      <c r="Q128" s="2"/>
      <c r="R128" s="2"/>
      <c r="S128" s="2"/>
      <c r="T128" s="2"/>
      <c r="U128" s="46">
        <f t="shared" si="55"/>
        <v>0</v>
      </c>
      <c r="V128" s="2"/>
      <c r="W128" s="2"/>
      <c r="X128" s="2"/>
      <c r="Y128" s="2"/>
      <c r="Z128" s="2"/>
      <c r="AA128" s="2"/>
    </row>
    <row r="129" spans="1:27" s="65" customFormat="1" ht="48.75" hidden="1" customHeight="1" x14ac:dyDescent="0.25">
      <c r="A129" s="60" t="s">
        <v>119</v>
      </c>
      <c r="B129" s="61" t="s">
        <v>23</v>
      </c>
      <c r="C129" s="61">
        <v>226</v>
      </c>
      <c r="D129" s="66" t="s">
        <v>156</v>
      </c>
      <c r="E129" s="7">
        <v>571227.57999999996</v>
      </c>
      <c r="F129" s="98"/>
      <c r="G129" s="4">
        <v>171368.27</v>
      </c>
      <c r="H129" s="7">
        <f>E129-F129-G129</f>
        <v>399859.30999999994</v>
      </c>
      <c r="I129" s="7"/>
      <c r="J129" s="7"/>
      <c r="K129" s="63">
        <f t="shared" si="53"/>
        <v>399859.31</v>
      </c>
      <c r="L129" s="7"/>
      <c r="M129" s="7"/>
      <c r="N129" s="7"/>
      <c r="O129" s="7">
        <v>399859.31</v>
      </c>
      <c r="P129" s="63">
        <f t="shared" si="54"/>
        <v>399859.31</v>
      </c>
      <c r="Q129" s="7"/>
      <c r="R129" s="7"/>
      <c r="S129" s="7"/>
      <c r="T129" s="7">
        <v>399859.31</v>
      </c>
      <c r="U129" s="64">
        <f t="shared" si="55"/>
        <v>399859.31</v>
      </c>
      <c r="V129" s="7"/>
      <c r="W129" s="7"/>
      <c r="X129" s="7"/>
      <c r="Y129" s="7">
        <v>399859.31</v>
      </c>
      <c r="Z129" s="7">
        <f>T129-O129</f>
        <v>0</v>
      </c>
      <c r="AA129" s="7">
        <f>O129-Y129</f>
        <v>0</v>
      </c>
    </row>
    <row r="130" spans="1:27" s="65" customFormat="1" ht="60.75" hidden="1" customHeight="1" x14ac:dyDescent="0.25">
      <c r="A130" s="60" t="s">
        <v>220</v>
      </c>
      <c r="B130" s="61" t="s">
        <v>208</v>
      </c>
      <c r="C130" s="61">
        <v>226</v>
      </c>
      <c r="D130" s="66" t="s">
        <v>221</v>
      </c>
      <c r="E130" s="7">
        <v>92781.63</v>
      </c>
      <c r="F130" s="98"/>
      <c r="G130" s="4"/>
      <c r="H130" s="7">
        <f>E130-F130-G130</f>
        <v>92781.63</v>
      </c>
      <c r="I130" s="7"/>
      <c r="J130" s="7"/>
      <c r="K130" s="63">
        <f t="shared" si="53"/>
        <v>92781.63</v>
      </c>
      <c r="L130" s="7"/>
      <c r="M130" s="7"/>
      <c r="N130" s="7"/>
      <c r="O130" s="7">
        <v>92781.63</v>
      </c>
      <c r="P130" s="63">
        <f t="shared" si="54"/>
        <v>92781.63</v>
      </c>
      <c r="Q130" s="7"/>
      <c r="R130" s="7"/>
      <c r="S130" s="7"/>
      <c r="T130" s="7">
        <v>92781.63</v>
      </c>
      <c r="U130" s="64">
        <f t="shared" si="55"/>
        <v>0</v>
      </c>
      <c r="V130" s="7"/>
      <c r="W130" s="7"/>
      <c r="X130" s="7"/>
      <c r="Y130" s="7">
        <v>0</v>
      </c>
      <c r="Z130" s="7">
        <f>T130-O130</f>
        <v>0</v>
      </c>
      <c r="AA130" s="7">
        <f>O130-Y130</f>
        <v>92781.63</v>
      </c>
    </row>
    <row r="131" spans="1:27" s="65" customFormat="1" ht="48.75" hidden="1" customHeight="1" x14ac:dyDescent="0.25">
      <c r="A131" s="60" t="s">
        <v>247</v>
      </c>
      <c r="B131" s="68" t="s">
        <v>248</v>
      </c>
      <c r="C131" s="68">
        <v>226</v>
      </c>
      <c r="D131" s="121" t="s">
        <v>308</v>
      </c>
      <c r="E131" s="7">
        <v>1239</v>
      </c>
      <c r="F131" s="98"/>
      <c r="G131" s="4"/>
      <c r="H131" s="7">
        <f>E131-F131-G131</f>
        <v>1239</v>
      </c>
      <c r="I131" s="7"/>
      <c r="J131" s="7"/>
      <c r="K131" s="63">
        <f t="shared" si="53"/>
        <v>1239</v>
      </c>
      <c r="L131" s="7"/>
      <c r="M131" s="7"/>
      <c r="N131" s="7"/>
      <c r="O131" s="7">
        <v>1239</v>
      </c>
      <c r="P131" s="63">
        <f t="shared" si="54"/>
        <v>1239</v>
      </c>
      <c r="Q131" s="7"/>
      <c r="R131" s="7"/>
      <c r="S131" s="7"/>
      <c r="T131" s="7">
        <v>1239</v>
      </c>
      <c r="U131" s="64">
        <f t="shared" si="55"/>
        <v>0</v>
      </c>
      <c r="V131" s="7"/>
      <c r="W131" s="7"/>
      <c r="X131" s="7"/>
      <c r="Y131" s="7">
        <v>0</v>
      </c>
      <c r="Z131" s="7">
        <f>T131-O131</f>
        <v>0</v>
      </c>
      <c r="AA131" s="7">
        <f>T131-O131</f>
        <v>0</v>
      </c>
    </row>
    <row r="132" spans="1:27" s="14" customFormat="1" ht="29.25" hidden="1" customHeight="1" x14ac:dyDescent="0.25">
      <c r="A132" s="11" t="s">
        <v>31</v>
      </c>
      <c r="B132" s="16" t="s">
        <v>9</v>
      </c>
      <c r="C132" s="16"/>
      <c r="D132" s="74">
        <f>SUM(E134:E148)</f>
        <v>88511014.370000005</v>
      </c>
      <c r="E132" s="13">
        <f>SUM(E133:E149)-E134-E135</f>
        <v>88512253.36999999</v>
      </c>
      <c r="F132" s="102">
        <f>SUM(F133:F149)-F134-F135</f>
        <v>0</v>
      </c>
      <c r="G132" s="83">
        <f>SUM(G133:G149)-G134-G135</f>
        <v>1983642.79</v>
      </c>
      <c r="H132" s="89">
        <f>SUM(H133:H149)-H134-H135</f>
        <v>86528610.580000028</v>
      </c>
      <c r="I132" s="128">
        <v>1488.07</v>
      </c>
      <c r="J132" s="13">
        <f>E132/I132</f>
        <v>59481.243066522402</v>
      </c>
      <c r="K132" s="40">
        <f>SUM(K133:K149)-K134-K135</f>
        <v>51251344.079999991</v>
      </c>
      <c r="L132" s="13">
        <f t="shared" ref="L132:AA132" si="57">SUM(L133:L149)-L134-L135</f>
        <v>30765152.699999992</v>
      </c>
      <c r="M132" s="13">
        <f t="shared" si="57"/>
        <v>14333311.33</v>
      </c>
      <c r="N132" s="13">
        <f t="shared" si="57"/>
        <v>3338838.06</v>
      </c>
      <c r="O132" s="13">
        <f t="shared" si="57"/>
        <v>2814041.9899999998</v>
      </c>
      <c r="P132" s="40">
        <f t="shared" si="57"/>
        <v>86528610.579999983</v>
      </c>
      <c r="Q132" s="13">
        <f t="shared" si="57"/>
        <v>30765152.699999992</v>
      </c>
      <c r="R132" s="13">
        <f t="shared" si="57"/>
        <v>14333311.33</v>
      </c>
      <c r="S132" s="13">
        <f t="shared" si="57"/>
        <v>6391697.9600000018</v>
      </c>
      <c r="T132" s="13">
        <f t="shared" si="57"/>
        <v>35038448.589999981</v>
      </c>
      <c r="U132" s="40">
        <f t="shared" si="57"/>
        <v>22527642.059999995</v>
      </c>
      <c r="V132" s="13">
        <f t="shared" si="57"/>
        <v>11827084.390000001</v>
      </c>
      <c r="W132" s="13">
        <f t="shared" si="57"/>
        <v>5534517.4299999997</v>
      </c>
      <c r="X132" s="13">
        <f t="shared" si="57"/>
        <v>2532306.5299999998</v>
      </c>
      <c r="Y132" s="13">
        <f t="shared" si="57"/>
        <v>2633733.71</v>
      </c>
      <c r="Z132" s="40">
        <f t="shared" si="57"/>
        <v>35277266.499999993</v>
      </c>
      <c r="AA132" s="40">
        <f t="shared" si="57"/>
        <v>36262867.309999995</v>
      </c>
    </row>
    <row r="133" spans="1:27" ht="35.25" hidden="1" customHeight="1" x14ac:dyDescent="0.25">
      <c r="A133" s="168" t="s">
        <v>52</v>
      </c>
      <c r="B133" s="1" t="s">
        <v>184</v>
      </c>
      <c r="C133" s="164">
        <v>310</v>
      </c>
      <c r="D133" s="318" t="s">
        <v>267</v>
      </c>
      <c r="E133" s="2">
        <f>68235644.64+14126383.34</f>
        <v>82362027.980000004</v>
      </c>
      <c r="F133" s="98"/>
      <c r="G133" s="4"/>
      <c r="H133" s="7">
        <f t="shared" ref="H133:H138" si="58">E133-F133-G133</f>
        <v>82362027.980000004</v>
      </c>
      <c r="I133" s="129">
        <v>1488.07</v>
      </c>
      <c r="J133" s="36">
        <f>E133/I133</f>
        <v>55348.221508396789</v>
      </c>
      <c r="K133" s="41">
        <f t="shared" ref="K133:AA133" si="59">SUM(K134:K135)</f>
        <v>48437302.089999996</v>
      </c>
      <c r="L133" s="2">
        <f t="shared" si="59"/>
        <v>30765152.699999999</v>
      </c>
      <c r="M133" s="2">
        <f t="shared" si="59"/>
        <v>14333311.33</v>
      </c>
      <c r="N133" s="2">
        <f t="shared" si="59"/>
        <v>3338838.06</v>
      </c>
      <c r="O133" s="2">
        <f t="shared" si="59"/>
        <v>0</v>
      </c>
      <c r="P133" s="41">
        <f t="shared" si="59"/>
        <v>82362027.979999989</v>
      </c>
      <c r="Q133" s="2">
        <f t="shared" si="59"/>
        <v>30765152.699999999</v>
      </c>
      <c r="R133" s="2">
        <f t="shared" si="59"/>
        <v>14333311.33</v>
      </c>
      <c r="S133" s="2">
        <f t="shared" si="59"/>
        <v>6391697.96</v>
      </c>
      <c r="T133" s="2">
        <f t="shared" si="59"/>
        <v>30871865.989999998</v>
      </c>
      <c r="U133" s="41">
        <f t="shared" si="59"/>
        <v>19893908.350000001</v>
      </c>
      <c r="V133" s="2">
        <f t="shared" si="59"/>
        <v>11827084.390000001</v>
      </c>
      <c r="W133" s="2">
        <f t="shared" si="59"/>
        <v>5534517.4299999997</v>
      </c>
      <c r="X133" s="2">
        <f t="shared" si="59"/>
        <v>2532306.5299999998</v>
      </c>
      <c r="Y133" s="2">
        <f t="shared" si="59"/>
        <v>0</v>
      </c>
      <c r="Z133" s="41">
        <f t="shared" si="59"/>
        <v>33924725.889999993</v>
      </c>
      <c r="AA133" s="41">
        <f t="shared" si="59"/>
        <v>34731257.419999994</v>
      </c>
    </row>
    <row r="134" spans="1:27" s="33" customFormat="1" hidden="1" x14ac:dyDescent="0.25">
      <c r="A134" s="30"/>
      <c r="B134" s="31" t="s">
        <v>182</v>
      </c>
      <c r="C134" s="165"/>
      <c r="D134" s="319"/>
      <c r="E134" s="32">
        <v>76925172.180000007</v>
      </c>
      <c r="F134" s="100"/>
      <c r="G134" s="82"/>
      <c r="H134" s="7">
        <f t="shared" si="58"/>
        <v>76925172.180000007</v>
      </c>
      <c r="I134" s="32"/>
      <c r="J134" s="32"/>
      <c r="K134" s="44">
        <f>SUM(L134:O134)</f>
        <v>45125815.089999996</v>
      </c>
      <c r="L134" s="2">
        <f>20049819.85+8592779.94</f>
        <v>28642599.789999999</v>
      </c>
      <c r="M134" s="32">
        <v>13403385.199999999</v>
      </c>
      <c r="N134" s="132">
        <v>3079830.1</v>
      </c>
      <c r="O134" s="32">
        <v>0</v>
      </c>
      <c r="P134" s="44">
        <f>SUM(Q134:T134)</f>
        <v>76925172.179999992</v>
      </c>
      <c r="Q134" s="32">
        <v>28642599.789999999</v>
      </c>
      <c r="R134" s="32">
        <v>13403385.199999999</v>
      </c>
      <c r="S134" s="32">
        <v>6132690</v>
      </c>
      <c r="T134" s="32">
        <f>2453196.2+26293300.99</f>
        <v>28746497.189999998</v>
      </c>
      <c r="U134" s="44">
        <f>SUM(V134:Y134)</f>
        <v>19893908.350000001</v>
      </c>
      <c r="V134" s="32">
        <v>11827084.390000001</v>
      </c>
      <c r="W134" s="32">
        <v>5534517.4299999997</v>
      </c>
      <c r="X134" s="32">
        <v>2532306.5299999998</v>
      </c>
      <c r="Y134" s="32">
        <v>0</v>
      </c>
      <c r="Z134" s="32">
        <f>S134-N134+T134</f>
        <v>31799357.089999996</v>
      </c>
      <c r="AA134" s="32">
        <f>Z134+N134-X134</f>
        <v>32346880.659999996</v>
      </c>
    </row>
    <row r="135" spans="1:27" s="33" customFormat="1" hidden="1" x14ac:dyDescent="0.25">
      <c r="A135" s="30"/>
      <c r="B135" s="31" t="s">
        <v>183</v>
      </c>
      <c r="C135" s="166"/>
      <c r="D135" s="320"/>
      <c r="E135" s="32">
        <v>5436855.7999999998</v>
      </c>
      <c r="F135" s="100"/>
      <c r="G135" s="82"/>
      <c r="H135" s="7">
        <f t="shared" si="58"/>
        <v>5436855.7999999998</v>
      </c>
      <c r="I135" s="32"/>
      <c r="J135" s="32"/>
      <c r="K135" s="44">
        <f>SUM(L135:O135)</f>
        <v>3311487</v>
      </c>
      <c r="L135" s="32">
        <v>2122552.91</v>
      </c>
      <c r="M135" s="32">
        <v>929926.13</v>
      </c>
      <c r="N135" s="32">
        <v>259007.96</v>
      </c>
      <c r="O135" s="32">
        <v>0</v>
      </c>
      <c r="P135" s="44">
        <f>SUM(Q135:T135)</f>
        <v>5436855.7999999998</v>
      </c>
      <c r="Q135" s="32">
        <v>2122552.91</v>
      </c>
      <c r="R135" s="32">
        <v>929926.13</v>
      </c>
      <c r="S135" s="32">
        <v>259007.96</v>
      </c>
      <c r="T135" s="32">
        <f>267031.9+1858336.9</f>
        <v>2125368.7999999998</v>
      </c>
      <c r="U135" s="44">
        <f>SUM(V135:Y135)</f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f>T135</f>
        <v>2125368.7999999998</v>
      </c>
      <c r="AA135" s="32">
        <f>Z135+N135</f>
        <v>2384376.7599999998</v>
      </c>
    </row>
    <row r="136" spans="1:27" s="8" customFormat="1" ht="27.75" hidden="1" customHeight="1" x14ac:dyDescent="0.25">
      <c r="A136" s="5" t="s">
        <v>53</v>
      </c>
      <c r="B136" s="1" t="s">
        <v>8</v>
      </c>
      <c r="C136" s="1">
        <v>226</v>
      </c>
      <c r="D136" s="25" t="s">
        <v>169</v>
      </c>
      <c r="E136" s="2">
        <v>10000</v>
      </c>
      <c r="F136" s="98"/>
      <c r="G136" s="4">
        <v>10000</v>
      </c>
      <c r="H136" s="7">
        <f t="shared" si="58"/>
        <v>0</v>
      </c>
      <c r="I136" s="2"/>
      <c r="J136" s="2"/>
      <c r="K136" s="44">
        <f t="shared" ref="K136:K148" si="60">SUM(L136:O136)</f>
        <v>0</v>
      </c>
      <c r="L136" s="2"/>
      <c r="M136" s="2"/>
      <c r="N136" s="2"/>
      <c r="O136" s="2"/>
      <c r="P136" s="44">
        <f t="shared" ref="P136:P148" si="61">SUM(Q136:T136)</f>
        <v>0</v>
      </c>
      <c r="Q136" s="2"/>
      <c r="R136" s="2"/>
      <c r="S136" s="2"/>
      <c r="T136" s="2"/>
      <c r="U136" s="44">
        <f t="shared" ref="U136:U148" si="62">SUM(V136:Y136)</f>
        <v>0</v>
      </c>
      <c r="V136" s="2"/>
      <c r="W136" s="2"/>
      <c r="X136" s="2"/>
      <c r="Y136" s="2"/>
      <c r="Z136" s="2"/>
      <c r="AA136" s="2"/>
    </row>
    <row r="137" spans="1:27" hidden="1" x14ac:dyDescent="0.25">
      <c r="A137" s="168" t="s">
        <v>54</v>
      </c>
      <c r="B137" s="3" t="s">
        <v>1</v>
      </c>
      <c r="C137" s="3">
        <v>226</v>
      </c>
      <c r="D137" s="29"/>
      <c r="E137" s="2">
        <v>0</v>
      </c>
      <c r="F137" s="98"/>
      <c r="G137" s="4"/>
      <c r="H137" s="7">
        <f t="shared" si="58"/>
        <v>0</v>
      </c>
      <c r="I137" s="2"/>
      <c r="J137" s="2"/>
      <c r="K137" s="44">
        <f t="shared" si="60"/>
        <v>0</v>
      </c>
      <c r="L137" s="2"/>
      <c r="M137" s="2"/>
      <c r="N137" s="2"/>
      <c r="O137" s="2"/>
      <c r="P137" s="44">
        <f t="shared" si="61"/>
        <v>0</v>
      </c>
      <c r="Q137" s="2"/>
      <c r="R137" s="2"/>
      <c r="S137" s="2"/>
      <c r="T137" s="2"/>
      <c r="U137" s="44">
        <f t="shared" si="62"/>
        <v>0</v>
      </c>
      <c r="V137" s="2"/>
      <c r="W137" s="2"/>
      <c r="X137" s="2"/>
      <c r="Y137" s="2"/>
      <c r="Z137" s="2"/>
      <c r="AA137" s="2"/>
    </row>
    <row r="138" spans="1:27" ht="36" hidden="1" x14ac:dyDescent="0.25">
      <c r="A138" s="168" t="s">
        <v>55</v>
      </c>
      <c r="B138" s="3" t="s">
        <v>11</v>
      </c>
      <c r="C138" s="3">
        <v>226</v>
      </c>
      <c r="D138" s="25" t="s">
        <v>132</v>
      </c>
      <c r="E138" s="2">
        <v>1490455.64</v>
      </c>
      <c r="F138" s="98"/>
      <c r="G138" s="4">
        <v>1490455.64</v>
      </c>
      <c r="H138" s="7">
        <f t="shared" si="58"/>
        <v>0</v>
      </c>
      <c r="I138" s="2"/>
      <c r="J138" s="2"/>
      <c r="K138" s="44">
        <f t="shared" si="60"/>
        <v>0</v>
      </c>
      <c r="L138" s="2"/>
      <c r="M138" s="2"/>
      <c r="N138" s="2"/>
      <c r="O138" s="2"/>
      <c r="P138" s="44">
        <f t="shared" si="61"/>
        <v>0</v>
      </c>
      <c r="Q138" s="2"/>
      <c r="R138" s="2"/>
      <c r="S138" s="2"/>
      <c r="T138" s="2"/>
      <c r="U138" s="44">
        <f t="shared" si="62"/>
        <v>0</v>
      </c>
      <c r="V138" s="2"/>
      <c r="W138" s="2"/>
      <c r="X138" s="2"/>
      <c r="Y138" s="2"/>
      <c r="Z138" s="2"/>
      <c r="AA138" s="2"/>
    </row>
    <row r="139" spans="1:27" s="65" customFormat="1" ht="24" hidden="1" x14ac:dyDescent="0.25">
      <c r="A139" s="60" t="s">
        <v>56</v>
      </c>
      <c r="B139" s="61" t="s">
        <v>20</v>
      </c>
      <c r="C139" s="61">
        <v>226</v>
      </c>
      <c r="D139" s="66" t="s">
        <v>205</v>
      </c>
      <c r="E139" s="7">
        <v>139596.66</v>
      </c>
      <c r="F139" s="98"/>
      <c r="G139" s="4"/>
      <c r="H139" s="7">
        <f t="shared" ref="H139:H149" si="63">E139-F139-G139</f>
        <v>139596.66</v>
      </c>
      <c r="I139" s="7"/>
      <c r="J139" s="7"/>
      <c r="K139" s="69">
        <f t="shared" si="60"/>
        <v>139596.66</v>
      </c>
      <c r="L139" s="7"/>
      <c r="M139" s="7"/>
      <c r="N139" s="7"/>
      <c r="O139" s="7">
        <v>139596.66</v>
      </c>
      <c r="P139" s="69">
        <f t="shared" si="61"/>
        <v>139596.66</v>
      </c>
      <c r="Q139" s="7"/>
      <c r="R139" s="7"/>
      <c r="S139" s="7"/>
      <c r="T139" s="7">
        <v>139596.66</v>
      </c>
      <c r="U139" s="69">
        <f t="shared" si="62"/>
        <v>14603.07</v>
      </c>
      <c r="V139" s="7"/>
      <c r="W139" s="7"/>
      <c r="X139" s="7"/>
      <c r="Y139" s="7">
        <v>14603.07</v>
      </c>
      <c r="Z139" s="7">
        <f>T139-O139</f>
        <v>0</v>
      </c>
      <c r="AA139" s="7">
        <f>O139-Y139</f>
        <v>124993.59</v>
      </c>
    </row>
    <row r="140" spans="1:27" ht="24" hidden="1" x14ac:dyDescent="0.25">
      <c r="A140" s="168" t="s">
        <v>57</v>
      </c>
      <c r="B140" s="3" t="s">
        <v>12</v>
      </c>
      <c r="C140" s="3">
        <v>226</v>
      </c>
      <c r="D140" s="25" t="s">
        <v>154</v>
      </c>
      <c r="E140" s="2">
        <v>418391.17</v>
      </c>
      <c r="F140" s="98"/>
      <c r="G140" s="4">
        <v>188276.02</v>
      </c>
      <c r="H140" s="7">
        <f t="shared" si="63"/>
        <v>230115.15</v>
      </c>
      <c r="I140" s="2"/>
      <c r="J140" s="2"/>
      <c r="K140" s="44">
        <f t="shared" si="60"/>
        <v>0</v>
      </c>
      <c r="L140" s="2"/>
      <c r="M140" s="2"/>
      <c r="N140" s="2"/>
      <c r="O140" s="2"/>
      <c r="P140" s="44">
        <f t="shared" si="61"/>
        <v>230115.15</v>
      </c>
      <c r="Q140" s="2"/>
      <c r="R140" s="2"/>
      <c r="S140" s="2"/>
      <c r="T140" s="2">
        <v>230115.15</v>
      </c>
      <c r="U140" s="44">
        <f t="shared" si="62"/>
        <v>0</v>
      </c>
      <c r="V140" s="2"/>
      <c r="W140" s="2"/>
      <c r="X140" s="2"/>
      <c r="Y140" s="2"/>
      <c r="Z140" s="2">
        <f>T140-O140</f>
        <v>230115.15</v>
      </c>
      <c r="AA140" s="2">
        <f>T140-Y140</f>
        <v>230115.15</v>
      </c>
    </row>
    <row r="141" spans="1:27" s="65" customFormat="1" ht="24" hidden="1" x14ac:dyDescent="0.25">
      <c r="A141" s="60" t="s">
        <v>58</v>
      </c>
      <c r="B141" s="61" t="s">
        <v>13</v>
      </c>
      <c r="C141" s="61">
        <v>226</v>
      </c>
      <c r="D141" s="66" t="s">
        <v>161</v>
      </c>
      <c r="E141" s="7">
        <v>901873.41</v>
      </c>
      <c r="F141" s="98"/>
      <c r="G141" s="4"/>
      <c r="H141" s="7">
        <f t="shared" si="63"/>
        <v>901873.41</v>
      </c>
      <c r="I141" s="7"/>
      <c r="J141" s="7"/>
      <c r="K141" s="69">
        <f t="shared" si="60"/>
        <v>586217.72</v>
      </c>
      <c r="L141" s="7"/>
      <c r="M141" s="7"/>
      <c r="N141" s="7"/>
      <c r="O141" s="7">
        <v>586217.72</v>
      </c>
      <c r="P141" s="69">
        <f t="shared" si="61"/>
        <v>901873.41</v>
      </c>
      <c r="Q141" s="7"/>
      <c r="R141" s="7"/>
      <c r="S141" s="7"/>
      <c r="T141" s="7">
        <v>901873.41</v>
      </c>
      <c r="U141" s="69">
        <f t="shared" si="62"/>
        <v>586217.72</v>
      </c>
      <c r="V141" s="7"/>
      <c r="W141" s="7"/>
      <c r="X141" s="7"/>
      <c r="Y141" s="7">
        <v>586217.72</v>
      </c>
      <c r="Z141" s="7">
        <f>T141-O141</f>
        <v>315655.69000000006</v>
      </c>
      <c r="AA141" s="7">
        <f>T141-Y141</f>
        <v>315655.69000000006</v>
      </c>
    </row>
    <row r="142" spans="1:27" s="65" customFormat="1" ht="24" hidden="1" x14ac:dyDescent="0.25">
      <c r="A142" s="60" t="s">
        <v>59</v>
      </c>
      <c r="B142" s="61" t="s">
        <v>15</v>
      </c>
      <c r="C142" s="61">
        <v>226</v>
      </c>
      <c r="D142" s="62" t="s">
        <v>162</v>
      </c>
      <c r="E142" s="7">
        <v>985179.19</v>
      </c>
      <c r="F142" s="98"/>
      <c r="G142" s="4"/>
      <c r="H142" s="7">
        <f t="shared" si="63"/>
        <v>985179.19</v>
      </c>
      <c r="I142" s="7"/>
      <c r="J142" s="7"/>
      <c r="K142" s="69">
        <f t="shared" si="60"/>
        <v>640366.48</v>
      </c>
      <c r="L142" s="7"/>
      <c r="M142" s="7"/>
      <c r="N142" s="7"/>
      <c r="O142" s="7">
        <v>640366.48</v>
      </c>
      <c r="P142" s="69">
        <f t="shared" si="61"/>
        <v>985179.19</v>
      </c>
      <c r="Q142" s="7"/>
      <c r="R142" s="7"/>
      <c r="S142" s="7"/>
      <c r="T142" s="7">
        <v>985179.19</v>
      </c>
      <c r="U142" s="69">
        <f t="shared" si="62"/>
        <v>640366.48</v>
      </c>
      <c r="V142" s="7"/>
      <c r="W142" s="7"/>
      <c r="X142" s="7"/>
      <c r="Y142" s="7">
        <v>640366.48</v>
      </c>
      <c r="Z142" s="7">
        <f>T142-O142</f>
        <v>344812.70999999996</v>
      </c>
      <c r="AA142" s="7">
        <f>T142-Y142</f>
        <v>344812.70999999996</v>
      </c>
    </row>
    <row r="143" spans="1:27" s="65" customFormat="1" ht="24" hidden="1" x14ac:dyDescent="0.25">
      <c r="A143" s="60" t="s">
        <v>60</v>
      </c>
      <c r="B143" s="61" t="s">
        <v>14</v>
      </c>
      <c r="C143" s="61">
        <v>226</v>
      </c>
      <c r="D143" s="66" t="s">
        <v>164</v>
      </c>
      <c r="E143" s="7">
        <v>1319877.29</v>
      </c>
      <c r="F143" s="98"/>
      <c r="G143" s="4"/>
      <c r="H143" s="7">
        <f t="shared" si="63"/>
        <v>1319877.29</v>
      </c>
      <c r="I143" s="7"/>
      <c r="J143" s="7"/>
      <c r="K143" s="69">
        <f t="shared" si="60"/>
        <v>857920.23</v>
      </c>
      <c r="L143" s="7"/>
      <c r="M143" s="7"/>
      <c r="N143" s="7"/>
      <c r="O143" s="7">
        <v>857920.23</v>
      </c>
      <c r="P143" s="69">
        <f t="shared" si="61"/>
        <v>1319877.29</v>
      </c>
      <c r="Q143" s="7"/>
      <c r="R143" s="7"/>
      <c r="S143" s="7"/>
      <c r="T143" s="7">
        <v>1319877.29</v>
      </c>
      <c r="U143" s="69">
        <f t="shared" si="62"/>
        <v>857920.23</v>
      </c>
      <c r="V143" s="7"/>
      <c r="W143" s="7"/>
      <c r="X143" s="7"/>
      <c r="Y143" s="7">
        <v>857920.23</v>
      </c>
      <c r="Z143" s="7">
        <f>T143-O143</f>
        <v>461957.06000000006</v>
      </c>
      <c r="AA143" s="7">
        <f>T143-Y143</f>
        <v>461957.06000000006</v>
      </c>
    </row>
    <row r="144" spans="1:27" s="8" customFormat="1" hidden="1" x14ac:dyDescent="0.25">
      <c r="A144" s="5" t="s">
        <v>61</v>
      </c>
      <c r="B144" s="1" t="s">
        <v>22</v>
      </c>
      <c r="C144" s="1">
        <v>226</v>
      </c>
      <c r="D144" s="25" t="s">
        <v>170</v>
      </c>
      <c r="E144" s="2">
        <v>9356.75</v>
      </c>
      <c r="F144" s="98"/>
      <c r="G144" s="4">
        <v>9356.75</v>
      </c>
      <c r="H144" s="7">
        <f t="shared" si="63"/>
        <v>0</v>
      </c>
      <c r="I144" s="2"/>
      <c r="J144" s="2"/>
      <c r="K144" s="44">
        <f t="shared" si="60"/>
        <v>0</v>
      </c>
      <c r="L144" s="2"/>
      <c r="M144" s="2"/>
      <c r="N144" s="2"/>
      <c r="O144" s="2"/>
      <c r="P144" s="44">
        <f t="shared" si="61"/>
        <v>0</v>
      </c>
      <c r="Q144" s="2"/>
      <c r="R144" s="2"/>
      <c r="S144" s="2"/>
      <c r="T144" s="2"/>
      <c r="U144" s="44">
        <f t="shared" si="62"/>
        <v>0</v>
      </c>
      <c r="V144" s="2"/>
      <c r="W144" s="2"/>
      <c r="X144" s="2"/>
      <c r="Y144" s="2"/>
      <c r="Z144" s="2"/>
      <c r="AA144" s="2"/>
    </row>
    <row r="145" spans="1:29" s="65" customFormat="1" ht="39" hidden="1" customHeight="1" x14ac:dyDescent="0.25">
      <c r="A145" s="60" t="s">
        <v>120</v>
      </c>
      <c r="B145" s="68" t="s">
        <v>24</v>
      </c>
      <c r="C145" s="61">
        <v>226</v>
      </c>
      <c r="D145" s="66" t="s">
        <v>174</v>
      </c>
      <c r="E145" s="7">
        <v>99174</v>
      </c>
      <c r="F145" s="98"/>
      <c r="G145" s="4"/>
      <c r="H145" s="7">
        <f t="shared" si="63"/>
        <v>99174</v>
      </c>
      <c r="I145" s="7"/>
      <c r="J145" s="7"/>
      <c r="K145" s="69">
        <f t="shared" si="60"/>
        <v>99174</v>
      </c>
      <c r="L145" s="7"/>
      <c r="M145" s="7"/>
      <c r="N145" s="7"/>
      <c r="O145" s="7">
        <v>99174</v>
      </c>
      <c r="P145" s="69">
        <f t="shared" si="61"/>
        <v>99174</v>
      </c>
      <c r="Q145" s="7"/>
      <c r="R145" s="7"/>
      <c r="S145" s="7"/>
      <c r="T145" s="7">
        <v>99174</v>
      </c>
      <c r="U145" s="69">
        <f t="shared" si="62"/>
        <v>99174</v>
      </c>
      <c r="V145" s="7"/>
      <c r="W145" s="7"/>
      <c r="X145" s="7"/>
      <c r="Y145" s="7">
        <v>99174</v>
      </c>
      <c r="Z145" s="7">
        <f>T145-O145</f>
        <v>0</v>
      </c>
      <c r="AA145" s="7">
        <f>O145-Y145</f>
        <v>0</v>
      </c>
    </row>
    <row r="146" spans="1:29" ht="24" hidden="1" x14ac:dyDescent="0.25">
      <c r="A146" s="168" t="s">
        <v>121</v>
      </c>
      <c r="B146" s="6" t="s">
        <v>21</v>
      </c>
      <c r="C146" s="3">
        <v>226</v>
      </c>
      <c r="D146" s="25" t="s">
        <v>172</v>
      </c>
      <c r="E146" s="7">
        <v>98932</v>
      </c>
      <c r="F146" s="101"/>
      <c r="G146" s="4">
        <v>98932</v>
      </c>
      <c r="H146" s="7">
        <f t="shared" si="63"/>
        <v>0</v>
      </c>
      <c r="I146" s="2"/>
      <c r="J146" s="2"/>
      <c r="K146" s="44">
        <f t="shared" si="60"/>
        <v>0</v>
      </c>
      <c r="L146" s="2"/>
      <c r="M146" s="2"/>
      <c r="N146" s="2"/>
      <c r="O146" s="2"/>
      <c r="P146" s="44">
        <f t="shared" si="61"/>
        <v>0</v>
      </c>
      <c r="Q146" s="2"/>
      <c r="R146" s="2"/>
      <c r="S146" s="2"/>
      <c r="T146" s="2"/>
      <c r="U146" s="44">
        <f t="shared" si="62"/>
        <v>0</v>
      </c>
      <c r="V146" s="2"/>
      <c r="W146" s="2"/>
      <c r="X146" s="7">
        <f>Q146-L146</f>
        <v>0</v>
      </c>
      <c r="Y146" s="2"/>
      <c r="Z146" s="2"/>
      <c r="AA146" s="2"/>
    </row>
    <row r="147" spans="1:29" s="65" customFormat="1" ht="48" hidden="1" customHeight="1" x14ac:dyDescent="0.25">
      <c r="A147" s="60" t="s">
        <v>122</v>
      </c>
      <c r="B147" s="61" t="s">
        <v>23</v>
      </c>
      <c r="C147" s="61">
        <v>226</v>
      </c>
      <c r="D147" s="66" t="s">
        <v>155</v>
      </c>
      <c r="E147" s="7">
        <v>622074.59</v>
      </c>
      <c r="F147" s="98"/>
      <c r="G147" s="4">
        <v>186622.38</v>
      </c>
      <c r="H147" s="7">
        <f t="shared" si="63"/>
        <v>435452.20999999996</v>
      </c>
      <c r="I147" s="7"/>
      <c r="J147" s="7"/>
      <c r="K147" s="69">
        <f t="shared" si="60"/>
        <v>435452.21</v>
      </c>
      <c r="L147" s="7"/>
      <c r="M147" s="7"/>
      <c r="N147" s="7"/>
      <c r="O147" s="7">
        <v>435452.21</v>
      </c>
      <c r="P147" s="69">
        <f t="shared" si="61"/>
        <v>435452.21</v>
      </c>
      <c r="Q147" s="7"/>
      <c r="R147" s="7"/>
      <c r="S147" s="7"/>
      <c r="T147" s="7">
        <v>435452.21</v>
      </c>
      <c r="U147" s="69">
        <f t="shared" si="62"/>
        <v>435452.21</v>
      </c>
      <c r="V147" s="7"/>
      <c r="W147" s="7"/>
      <c r="X147" s="7"/>
      <c r="Y147" s="7">
        <v>435452.21</v>
      </c>
      <c r="Z147" s="7">
        <f>T147-O147</f>
        <v>0</v>
      </c>
      <c r="AA147" s="7">
        <f>O147-Y147</f>
        <v>0</v>
      </c>
    </row>
    <row r="148" spans="1:29" s="65" customFormat="1" ht="77.25" hidden="1" customHeight="1" x14ac:dyDescent="0.25">
      <c r="A148" s="60" t="s">
        <v>222</v>
      </c>
      <c r="B148" s="61" t="s">
        <v>208</v>
      </c>
      <c r="C148" s="61">
        <v>226</v>
      </c>
      <c r="D148" s="66" t="s">
        <v>223</v>
      </c>
      <c r="E148" s="7">
        <v>54075.69</v>
      </c>
      <c r="F148" s="98"/>
      <c r="G148" s="4"/>
      <c r="H148" s="7">
        <f t="shared" si="63"/>
        <v>54075.69</v>
      </c>
      <c r="I148" s="7"/>
      <c r="J148" s="7"/>
      <c r="K148" s="69">
        <f t="shared" si="60"/>
        <v>54075.69</v>
      </c>
      <c r="L148" s="7"/>
      <c r="M148" s="7"/>
      <c r="N148" s="7"/>
      <c r="O148" s="7">
        <v>54075.69</v>
      </c>
      <c r="P148" s="69">
        <f t="shared" si="61"/>
        <v>54075.69</v>
      </c>
      <c r="Q148" s="7"/>
      <c r="R148" s="7"/>
      <c r="S148" s="7"/>
      <c r="T148" s="7">
        <v>54075.69</v>
      </c>
      <c r="U148" s="69">
        <f t="shared" si="62"/>
        <v>0</v>
      </c>
      <c r="V148" s="7"/>
      <c r="W148" s="7"/>
      <c r="X148" s="7"/>
      <c r="Y148" s="7">
        <v>0</v>
      </c>
      <c r="Z148" s="7">
        <f>T148-O148</f>
        <v>0</v>
      </c>
      <c r="AA148" s="7">
        <f>O148-Y148</f>
        <v>54075.69</v>
      </c>
    </row>
    <row r="149" spans="1:29" s="65" customFormat="1" ht="48.75" hidden="1" customHeight="1" x14ac:dyDescent="0.25">
      <c r="A149" s="60" t="s">
        <v>249</v>
      </c>
      <c r="B149" s="68" t="s">
        <v>248</v>
      </c>
      <c r="C149" s="68">
        <v>226</v>
      </c>
      <c r="D149" s="121" t="s">
        <v>308</v>
      </c>
      <c r="E149" s="7">
        <v>1239</v>
      </c>
      <c r="F149" s="98"/>
      <c r="G149" s="4"/>
      <c r="H149" s="7">
        <f t="shared" si="63"/>
        <v>1239</v>
      </c>
      <c r="I149" s="7"/>
      <c r="J149" s="7"/>
      <c r="K149" s="63">
        <f>SUM(L149:O149)</f>
        <v>1239</v>
      </c>
      <c r="L149" s="7"/>
      <c r="M149" s="7"/>
      <c r="N149" s="7"/>
      <c r="O149" s="7">
        <v>1239</v>
      </c>
      <c r="P149" s="63">
        <f>SUM(Q149:T149)</f>
        <v>1239</v>
      </c>
      <c r="Q149" s="7"/>
      <c r="R149" s="7"/>
      <c r="S149" s="7"/>
      <c r="T149" s="7">
        <v>1239</v>
      </c>
      <c r="U149" s="64">
        <f>SUM(V149:Y149)</f>
        <v>0</v>
      </c>
      <c r="V149" s="7"/>
      <c r="W149" s="7"/>
      <c r="X149" s="7"/>
      <c r="Y149" s="7">
        <v>0</v>
      </c>
      <c r="Z149" s="7">
        <f>T149-O149</f>
        <v>0</v>
      </c>
      <c r="AA149" s="7">
        <f>T149-O149</f>
        <v>0</v>
      </c>
    </row>
    <row r="150" spans="1:29" ht="29.25" hidden="1" customHeight="1" x14ac:dyDescent="0.25">
      <c r="A150" s="314" t="s">
        <v>225</v>
      </c>
      <c r="B150" s="315"/>
      <c r="C150" s="12">
        <v>310</v>
      </c>
      <c r="D150" s="51"/>
      <c r="E150" s="53"/>
      <c r="F150" s="102"/>
      <c r="G150" s="83"/>
      <c r="H150" s="93"/>
      <c r="I150" s="53"/>
      <c r="J150" s="53"/>
      <c r="K150" s="54">
        <f>SUM(L150:O150)</f>
        <v>0</v>
      </c>
      <c r="L150" s="53">
        <f>33459321.29+14339709.13-L117-L134</f>
        <v>0</v>
      </c>
      <c r="M150" s="53">
        <f>22367690.85-M117-M134</f>
        <v>0</v>
      </c>
      <c r="N150" s="53">
        <f>5158703.06-N117-N134</f>
        <v>0</v>
      </c>
      <c r="O150" s="53">
        <f>0-O118-O134</f>
        <v>0</v>
      </c>
      <c r="P150" s="54"/>
      <c r="Q150" s="53"/>
      <c r="R150" s="53"/>
      <c r="S150" s="53"/>
      <c r="T150" s="53"/>
      <c r="U150" s="54"/>
      <c r="V150" s="53"/>
      <c r="W150" s="53"/>
      <c r="X150" s="53"/>
      <c r="Y150" s="53"/>
      <c r="Z150" s="53">
        <f>0-N150</f>
        <v>0</v>
      </c>
      <c r="AA150" s="53"/>
    </row>
    <row r="151" spans="1:29" ht="29.25" hidden="1" customHeight="1" x14ac:dyDescent="0.25">
      <c r="A151" s="314" t="s">
        <v>225</v>
      </c>
      <c r="B151" s="315"/>
      <c r="C151" s="12">
        <v>226</v>
      </c>
      <c r="D151" s="51"/>
      <c r="E151" s="53"/>
      <c r="F151" s="102"/>
      <c r="G151" s="83"/>
      <c r="H151" s="93"/>
      <c r="I151" s="53"/>
      <c r="J151" s="53"/>
      <c r="K151" s="54">
        <f>SUM(L151:O151)</f>
        <v>2950738.2699999996</v>
      </c>
      <c r="L151" s="53"/>
      <c r="M151" s="53"/>
      <c r="N151" s="53"/>
      <c r="O151" s="53">
        <f>8752070.25-(O119+O120+O121+O122+O123+O124+O125+O126+O128+O129+O130+O136+O137+O138+O139+O140+O141+O142+O143+O144+O146+O147+O148-O149-O131)</f>
        <v>2950738.2699999996</v>
      </c>
      <c r="P151" s="54"/>
      <c r="Q151" s="53"/>
      <c r="R151" s="53"/>
      <c r="S151" s="53"/>
      <c r="T151" s="53"/>
      <c r="U151" s="54"/>
      <c r="V151" s="53"/>
      <c r="W151" s="53"/>
      <c r="X151" s="53"/>
      <c r="Y151" s="53"/>
      <c r="Z151" s="55">
        <f>0-O151</f>
        <v>-2950738.2699999996</v>
      </c>
      <c r="AA151" s="53"/>
    </row>
    <row r="152" spans="1:29" ht="27" hidden="1" customHeight="1" x14ac:dyDescent="0.25">
      <c r="A152" s="17" t="s">
        <v>41</v>
      </c>
      <c r="B152" s="18" t="s">
        <v>17</v>
      </c>
      <c r="C152" s="18"/>
      <c r="D152" s="73"/>
      <c r="E152" s="19">
        <f>E117+E132</f>
        <v>149796407.75</v>
      </c>
      <c r="F152" s="110">
        <f>F117+F132</f>
        <v>0</v>
      </c>
      <c r="G152" s="116">
        <f>G117+G132</f>
        <v>4079393.21</v>
      </c>
      <c r="H152" s="92">
        <f>H117+H132</f>
        <v>145717014.54000002</v>
      </c>
      <c r="I152" s="19">
        <f>I117+I132</f>
        <v>2481.48</v>
      </c>
      <c r="J152" s="19">
        <f>E152/I152</f>
        <v>60365.752595225429</v>
      </c>
      <c r="K152" s="42">
        <f>K117+K132+K150+K151</f>
        <v>87592519.579999983</v>
      </c>
      <c r="L152" s="19">
        <f>L117+L132+L150+L151</f>
        <v>49921583.329999991</v>
      </c>
      <c r="M152" s="19">
        <f>M117+M132+M150+M151</f>
        <v>23297616.98</v>
      </c>
      <c r="N152" s="19">
        <f>N117+N132+N150+N151</f>
        <v>5417711.0199999996</v>
      </c>
      <c r="O152" s="19">
        <f>O117+O132+O150+O151</f>
        <v>8955608.25</v>
      </c>
      <c r="P152" s="42">
        <f t="shared" ref="P152:Y152" si="64">P117+P132</f>
        <v>145717014.53999999</v>
      </c>
      <c r="Q152" s="19">
        <f t="shared" si="64"/>
        <v>49921583.329999991</v>
      </c>
      <c r="R152" s="19">
        <f t="shared" si="64"/>
        <v>23297616.98</v>
      </c>
      <c r="S152" s="19">
        <f t="shared" si="64"/>
        <v>10493296.690000001</v>
      </c>
      <c r="T152" s="19">
        <f t="shared" si="64"/>
        <v>62004517.539999977</v>
      </c>
      <c r="U152" s="42">
        <f t="shared" si="64"/>
        <v>36751539.390000001</v>
      </c>
      <c r="V152" s="19">
        <f t="shared" si="64"/>
        <v>18495366.09</v>
      </c>
      <c r="W152" s="19">
        <f t="shared" si="64"/>
        <v>8654958.629999999</v>
      </c>
      <c r="X152" s="19">
        <f t="shared" si="64"/>
        <v>3960057.6599999997</v>
      </c>
      <c r="Y152" s="19">
        <f t="shared" si="64"/>
        <v>5641157.0099999998</v>
      </c>
      <c r="Z152" s="19">
        <f>Z117+Z132+Z150+Z151</f>
        <v>58124494.959999993</v>
      </c>
      <c r="AA152" s="19">
        <f>AA117+AA132</f>
        <v>62894121.559999995</v>
      </c>
      <c r="AB152" s="50">
        <f>SUM(AB153:AB156)</f>
        <v>62896599.559999995</v>
      </c>
      <c r="AC152" s="49"/>
    </row>
    <row r="153" spans="1:29" ht="15" hidden="1" customHeight="1" x14ac:dyDescent="0.25">
      <c r="A153" s="17"/>
      <c r="B153" s="47" t="s">
        <v>195</v>
      </c>
      <c r="C153" s="18">
        <v>310</v>
      </c>
      <c r="D153" s="18"/>
      <c r="E153" s="19">
        <f>E118+E134</f>
        <v>131329506.49000001</v>
      </c>
      <c r="F153" s="110">
        <f>F118+F134</f>
        <v>0</v>
      </c>
      <c r="G153" s="116">
        <f>G118+G134</f>
        <v>0</v>
      </c>
      <c r="H153" s="92">
        <f>H118+H134</f>
        <v>131329506.49000001</v>
      </c>
      <c r="I153" s="19"/>
      <c r="J153" s="19"/>
      <c r="K153" s="42">
        <f t="shared" ref="K153:AA153" si="65">K118+K134</f>
        <v>75325424.329999998</v>
      </c>
      <c r="L153" s="19">
        <f t="shared" si="65"/>
        <v>47799030.420000002</v>
      </c>
      <c r="M153" s="19">
        <f t="shared" si="65"/>
        <v>22367690.850000001</v>
      </c>
      <c r="N153" s="19">
        <f t="shared" si="65"/>
        <v>5158703.0600000005</v>
      </c>
      <c r="O153" s="19">
        <f t="shared" si="65"/>
        <v>0</v>
      </c>
      <c r="P153" s="42">
        <f t="shared" si="65"/>
        <v>131329506.48999999</v>
      </c>
      <c r="Q153" s="19">
        <f t="shared" si="65"/>
        <v>47799030.420000002</v>
      </c>
      <c r="R153" s="19">
        <f t="shared" si="65"/>
        <v>22367690.850000001</v>
      </c>
      <c r="S153" s="19">
        <f t="shared" si="65"/>
        <v>10234288.73</v>
      </c>
      <c r="T153" s="19">
        <f t="shared" si="65"/>
        <v>50928496.489999995</v>
      </c>
      <c r="U153" s="42">
        <f t="shared" si="65"/>
        <v>31110382.380000003</v>
      </c>
      <c r="V153" s="19">
        <f t="shared" si="65"/>
        <v>18495366.09</v>
      </c>
      <c r="W153" s="19">
        <f t="shared" si="65"/>
        <v>8654958.629999999</v>
      </c>
      <c r="X153" s="19">
        <f t="shared" si="65"/>
        <v>3960057.6599999997</v>
      </c>
      <c r="Y153" s="19">
        <f t="shared" si="65"/>
        <v>0</v>
      </c>
      <c r="Z153" s="19">
        <f t="shared" si="65"/>
        <v>56004082.159999996</v>
      </c>
      <c r="AA153" s="19">
        <f t="shared" si="65"/>
        <v>57202727.560000002</v>
      </c>
      <c r="AB153" s="50">
        <f>S153-N153+N153-X153+T153</f>
        <v>57202727.559999995</v>
      </c>
      <c r="AC153" s="49"/>
    </row>
    <row r="154" spans="1:29" ht="15" hidden="1" customHeight="1" x14ac:dyDescent="0.25">
      <c r="A154" s="17"/>
      <c r="B154" s="47" t="s">
        <v>195</v>
      </c>
      <c r="C154" s="18" t="s">
        <v>236</v>
      </c>
      <c r="D154" s="73"/>
      <c r="E154" s="19">
        <f>E119+E120+E121+E122+E123+E124+E125+E126+E128+E129+E130+E131+E136+E137+E138+E139+E140+E141+E142+E143+E144+E146+E147+E148+E151+E149</f>
        <v>12831463.459999999</v>
      </c>
      <c r="F154" s="110">
        <f>F119+F120+F121+F122+F123+F124+F125+F126+F128+F129+F130+F131+F136+F137+F138+F139+F140+F141+F142+F143+F144+F146+F147+F148+F151+F149</f>
        <v>0</v>
      </c>
      <c r="G154" s="116">
        <f>G119+G120+G121+G122+G123+G124+G125+G126+G128+G129+G130+G131+G136+G137+G138+G139+G140+G141+G142+G143+G144+G146+G147+G148+G151+G149</f>
        <v>4079393.2099999995</v>
      </c>
      <c r="H154" s="92">
        <f>H119+H120+H121+H122+H123+H124+H125+H126+H128+H129+H130+H131+H136+H137+H138+H139+H140+H141+H142+H143+H144+H146+H147+H148+H151+H149</f>
        <v>8752070.25</v>
      </c>
      <c r="I154" s="19"/>
      <c r="J154" s="19"/>
      <c r="K154" s="42">
        <f t="shared" ref="K154:Y154" si="66">K119+K120+K121+K122+K123+K124+K125+K126+K128+K129+K130+K131+K136+K137+K138+K139+K140+K141+K142+K143+K144+K146+K147+K148+K151+K149</f>
        <v>8757026.25</v>
      </c>
      <c r="L154" s="19">
        <f t="shared" si="66"/>
        <v>0</v>
      </c>
      <c r="M154" s="19">
        <f t="shared" si="66"/>
        <v>0</v>
      </c>
      <c r="N154" s="19">
        <f t="shared" si="66"/>
        <v>0</v>
      </c>
      <c r="O154" s="19">
        <f t="shared" si="66"/>
        <v>8757026.25</v>
      </c>
      <c r="P154" s="42">
        <f t="shared" si="66"/>
        <v>8752070.25</v>
      </c>
      <c r="Q154" s="19">
        <f t="shared" si="66"/>
        <v>0</v>
      </c>
      <c r="R154" s="19">
        <f t="shared" si="66"/>
        <v>0</v>
      </c>
      <c r="S154" s="19">
        <f t="shared" si="66"/>
        <v>0</v>
      </c>
      <c r="T154" s="19">
        <f t="shared" si="66"/>
        <v>8752070.25</v>
      </c>
      <c r="U154" s="42">
        <f t="shared" si="66"/>
        <v>5442575.0099999998</v>
      </c>
      <c r="V154" s="19">
        <f t="shared" si="66"/>
        <v>0</v>
      </c>
      <c r="W154" s="19">
        <f t="shared" si="66"/>
        <v>0</v>
      </c>
      <c r="X154" s="19">
        <f t="shared" si="66"/>
        <v>0</v>
      </c>
      <c r="Y154" s="19">
        <f t="shared" si="66"/>
        <v>5442575.0099999998</v>
      </c>
      <c r="Z154" s="19">
        <f>Z119+Z120+Z121+Z122+Z123+Z124+Z125+Z126+Z128+Z129+Z130+Z131+Z136+Z137+Z138+Z139+Z140+Z141+Z142+Z143+Z144+Z146+Z147+Z148+Z151+Z149</f>
        <v>-4955.9999999995343</v>
      </c>
      <c r="AA154" s="19">
        <f>AA119+AA120+AA121+AA122+AA123+AA124+AA125+AA126+AA128+AA129+AA130+AA131+AA136+AA137+AA138+AA139+AA140+AA141+AA142+AA143+AA144+AA146+AA147+AA148+AA151+AA149</f>
        <v>3307017.24</v>
      </c>
      <c r="AB154" s="50">
        <f>T154-O154+K154-Y154</f>
        <v>3309495.24</v>
      </c>
      <c r="AC154" s="49">
        <f>AB154-AA154</f>
        <v>2478</v>
      </c>
    </row>
    <row r="155" spans="1:29" ht="15" hidden="1" customHeight="1" x14ac:dyDescent="0.25">
      <c r="A155" s="17"/>
      <c r="B155" s="47" t="s">
        <v>195</v>
      </c>
      <c r="C155" s="18" t="s">
        <v>235</v>
      </c>
      <c r="D155" s="73"/>
      <c r="E155" s="19">
        <f>E127+E145</f>
        <v>198582</v>
      </c>
      <c r="F155" s="110">
        <f>F127+F145</f>
        <v>0</v>
      </c>
      <c r="G155" s="116">
        <f>G127+G145</f>
        <v>0</v>
      </c>
      <c r="H155" s="92">
        <f>H127+H145</f>
        <v>198582</v>
      </c>
      <c r="I155" s="19"/>
      <c r="J155" s="19"/>
      <c r="K155" s="42">
        <f>K127+K145</f>
        <v>198582</v>
      </c>
      <c r="L155" s="19">
        <f t="shared" ref="L155:AA155" si="67">L127+L145</f>
        <v>0</v>
      </c>
      <c r="M155" s="19">
        <f t="shared" si="67"/>
        <v>0</v>
      </c>
      <c r="N155" s="19">
        <f t="shared" si="67"/>
        <v>0</v>
      </c>
      <c r="O155" s="19">
        <f t="shared" si="67"/>
        <v>198582</v>
      </c>
      <c r="P155" s="42">
        <f t="shared" si="67"/>
        <v>198582</v>
      </c>
      <c r="Q155" s="19">
        <f t="shared" si="67"/>
        <v>0</v>
      </c>
      <c r="R155" s="19">
        <f t="shared" si="67"/>
        <v>0</v>
      </c>
      <c r="S155" s="19">
        <f t="shared" si="67"/>
        <v>0</v>
      </c>
      <c r="T155" s="19">
        <f t="shared" si="67"/>
        <v>198582</v>
      </c>
      <c r="U155" s="42">
        <f t="shared" si="67"/>
        <v>198582</v>
      </c>
      <c r="V155" s="19">
        <f t="shared" si="67"/>
        <v>0</v>
      </c>
      <c r="W155" s="19">
        <f t="shared" si="67"/>
        <v>0</v>
      </c>
      <c r="X155" s="19">
        <f t="shared" si="67"/>
        <v>0</v>
      </c>
      <c r="Y155" s="19">
        <f t="shared" si="67"/>
        <v>198582</v>
      </c>
      <c r="Z155" s="19">
        <f>Z127+Z145</f>
        <v>0</v>
      </c>
      <c r="AA155" s="19">
        <f t="shared" si="67"/>
        <v>0</v>
      </c>
      <c r="AB155" s="50">
        <f>T155-O155+K155-Y155</f>
        <v>0</v>
      </c>
      <c r="AC155" s="49"/>
    </row>
    <row r="156" spans="1:29" ht="15" hidden="1" customHeight="1" x14ac:dyDescent="0.25">
      <c r="A156" s="17"/>
      <c r="B156" s="47" t="s">
        <v>194</v>
      </c>
      <c r="C156" s="18">
        <v>310</v>
      </c>
      <c r="D156" s="18"/>
      <c r="E156" s="19">
        <f>E135</f>
        <v>5436855.7999999998</v>
      </c>
      <c r="F156" s="110">
        <f>F135</f>
        <v>0</v>
      </c>
      <c r="G156" s="116">
        <f>G135</f>
        <v>0</v>
      </c>
      <c r="H156" s="92">
        <f>H135</f>
        <v>5436855.7999999998</v>
      </c>
      <c r="I156" s="19"/>
      <c r="J156" s="19"/>
      <c r="K156" s="42">
        <f t="shared" ref="K156:AA156" si="68">K135</f>
        <v>3311487</v>
      </c>
      <c r="L156" s="19">
        <f t="shared" si="68"/>
        <v>2122552.91</v>
      </c>
      <c r="M156" s="19">
        <f t="shared" si="68"/>
        <v>929926.13</v>
      </c>
      <c r="N156" s="19">
        <f t="shared" si="68"/>
        <v>259007.96</v>
      </c>
      <c r="O156" s="19">
        <f t="shared" si="68"/>
        <v>0</v>
      </c>
      <c r="P156" s="42">
        <f t="shared" si="68"/>
        <v>5436855.7999999998</v>
      </c>
      <c r="Q156" s="19">
        <f t="shared" si="68"/>
        <v>2122552.91</v>
      </c>
      <c r="R156" s="19">
        <f t="shared" si="68"/>
        <v>929926.13</v>
      </c>
      <c r="S156" s="19">
        <f t="shared" si="68"/>
        <v>259007.96</v>
      </c>
      <c r="T156" s="19">
        <f t="shared" si="68"/>
        <v>2125368.7999999998</v>
      </c>
      <c r="U156" s="42">
        <f t="shared" si="68"/>
        <v>0</v>
      </c>
      <c r="V156" s="19">
        <f t="shared" si="68"/>
        <v>0</v>
      </c>
      <c r="W156" s="19">
        <f t="shared" si="68"/>
        <v>0</v>
      </c>
      <c r="X156" s="19">
        <f t="shared" si="68"/>
        <v>0</v>
      </c>
      <c r="Y156" s="19">
        <f t="shared" si="68"/>
        <v>0</v>
      </c>
      <c r="Z156" s="19">
        <f t="shared" si="68"/>
        <v>2125368.7999999998</v>
      </c>
      <c r="AA156" s="19">
        <f t="shared" si="68"/>
        <v>2384376.7599999998</v>
      </c>
      <c r="AB156" s="50">
        <f>N156+T156</f>
        <v>2384376.7599999998</v>
      </c>
      <c r="AC156" s="49"/>
    </row>
    <row r="157" spans="1:29" s="10" customFormat="1" ht="18.75" customHeight="1" x14ac:dyDescent="0.25">
      <c r="A157" s="316" t="s">
        <v>255</v>
      </c>
      <c r="B157" s="317"/>
      <c r="C157" s="317"/>
      <c r="D157" s="24"/>
      <c r="E157" s="24"/>
      <c r="F157" s="106"/>
      <c r="G157" s="113"/>
      <c r="H157" s="88"/>
      <c r="I157" s="198"/>
      <c r="J157" s="198"/>
      <c r="K157" s="43"/>
      <c r="L157" s="24"/>
      <c r="M157" s="24"/>
      <c r="N157" s="24"/>
      <c r="O157" s="24"/>
      <c r="P157" s="43"/>
      <c r="Q157" s="169"/>
      <c r="R157" s="24"/>
      <c r="S157" s="169"/>
      <c r="T157" s="24"/>
      <c r="U157" s="43"/>
      <c r="V157" s="24"/>
      <c r="W157" s="24"/>
      <c r="X157" s="24"/>
      <c r="Y157" s="24"/>
      <c r="Z157" s="24"/>
      <c r="AA157" s="72"/>
    </row>
    <row r="158" spans="1:29" ht="15" customHeight="1" x14ac:dyDescent="0.25">
      <c r="A158" s="17" t="s">
        <v>34</v>
      </c>
      <c r="B158" s="47" t="s">
        <v>256</v>
      </c>
      <c r="C158" s="18"/>
      <c r="D158" s="18"/>
      <c r="E158" s="19">
        <f>SUM(E159:E170)</f>
        <v>101999709.67</v>
      </c>
      <c r="F158" s="143">
        <f>SUM(F159:F170)</f>
        <v>0</v>
      </c>
      <c r="G158" s="143">
        <f>SUM(G159:G170)</f>
        <v>99227</v>
      </c>
      <c r="H158" s="143">
        <f>SUM(H159:H170)</f>
        <v>101900482.67</v>
      </c>
      <c r="I158" s="177">
        <v>1357.27</v>
      </c>
      <c r="J158" s="36">
        <f>E158/I158</f>
        <v>75150.640381059042</v>
      </c>
      <c r="K158" s="143">
        <f t="shared" ref="K158:Z158" si="69">SUM(K159:K170)</f>
        <v>45876159.170000002</v>
      </c>
      <c r="L158" s="143">
        <f t="shared" si="69"/>
        <v>30745494.199999999</v>
      </c>
      <c r="M158" s="143">
        <f t="shared" si="69"/>
        <v>13470118.1</v>
      </c>
      <c r="N158" s="143">
        <f t="shared" si="69"/>
        <v>369604.59</v>
      </c>
      <c r="O158" s="143">
        <f t="shared" si="69"/>
        <v>1290942.28</v>
      </c>
      <c r="P158" s="143">
        <f t="shared" si="69"/>
        <v>101900482.67</v>
      </c>
      <c r="Q158" s="143">
        <f t="shared" si="69"/>
        <v>30745494.199999999</v>
      </c>
      <c r="R158" s="143">
        <f t="shared" si="69"/>
        <v>13470118.1</v>
      </c>
      <c r="S158" s="143">
        <f t="shared" si="69"/>
        <v>3751768.7</v>
      </c>
      <c r="T158" s="143">
        <f t="shared" si="69"/>
        <v>53933101.669999994</v>
      </c>
      <c r="U158" s="143">
        <f t="shared" si="69"/>
        <v>1290942.28</v>
      </c>
      <c r="V158" s="143">
        <f t="shared" si="69"/>
        <v>0</v>
      </c>
      <c r="W158" s="143">
        <f t="shared" si="69"/>
        <v>0</v>
      </c>
      <c r="X158" s="143">
        <f t="shared" si="69"/>
        <v>0</v>
      </c>
      <c r="Y158" s="143">
        <f t="shared" si="69"/>
        <v>1290942.28</v>
      </c>
      <c r="Z158" s="143">
        <f t="shared" si="69"/>
        <v>56024323.499999993</v>
      </c>
      <c r="AA158" s="143">
        <f>SUM(AA159:AA170)</f>
        <v>1784059.2400000002</v>
      </c>
      <c r="AB158" s="50"/>
      <c r="AC158" s="49"/>
    </row>
    <row r="159" spans="1:29" ht="35.25" customHeight="1" x14ac:dyDescent="0.25">
      <c r="A159" s="168" t="s">
        <v>43</v>
      </c>
      <c r="B159" s="1" t="s">
        <v>32</v>
      </c>
      <c r="C159" s="3">
        <v>310</v>
      </c>
      <c r="D159" s="142" t="s">
        <v>310</v>
      </c>
      <c r="E159" s="2">
        <v>90000000</v>
      </c>
      <c r="F159" s="98">
        <v>0</v>
      </c>
      <c r="G159" s="4">
        <v>0</v>
      </c>
      <c r="H159" s="7">
        <f t="shared" ref="H159:H167" si="70">E159-F159-G159</f>
        <v>90000000</v>
      </c>
      <c r="I159" s="177">
        <v>1560.56</v>
      </c>
      <c r="J159" s="36">
        <f>E159/I159</f>
        <v>57671.605064848518</v>
      </c>
      <c r="K159" s="41">
        <f>SUM(L159:O159)</f>
        <v>44585216.890000001</v>
      </c>
      <c r="L159" s="181">
        <v>30745494.199999999</v>
      </c>
      <c r="M159" s="181">
        <v>13470118.1</v>
      </c>
      <c r="N159" s="181">
        <v>369604.59</v>
      </c>
      <c r="O159" s="139">
        <v>0</v>
      </c>
      <c r="P159" s="41">
        <f>SUM(Q159:T159)</f>
        <v>90000000</v>
      </c>
      <c r="Q159" s="176">
        <f>30745494.2</f>
        <v>30745494.199999999</v>
      </c>
      <c r="R159" s="176">
        <v>13470118.1</v>
      </c>
      <c r="S159" s="176">
        <v>3751768.7</v>
      </c>
      <c r="T159" s="176">
        <f>H159-Q159-R159-S159</f>
        <v>42032618.999999993</v>
      </c>
      <c r="U159" s="46">
        <f>SUM(V159:Y159)</f>
        <v>0</v>
      </c>
      <c r="V159" s="36"/>
      <c r="W159" s="36"/>
      <c r="X159" s="36"/>
      <c r="Y159" s="137">
        <v>0</v>
      </c>
      <c r="Z159" s="36">
        <f>S159-N159+T159</f>
        <v>45414783.109999992</v>
      </c>
      <c r="AA159" s="137">
        <v>0</v>
      </c>
      <c r="AB159" s="50"/>
      <c r="AC159" s="49"/>
    </row>
    <row r="160" spans="1:29" ht="24.75" customHeight="1" x14ac:dyDescent="0.25">
      <c r="A160" s="168" t="s">
        <v>44</v>
      </c>
      <c r="B160" s="3" t="s">
        <v>10</v>
      </c>
      <c r="C160" s="3">
        <v>226</v>
      </c>
      <c r="D160" s="26" t="s">
        <v>268</v>
      </c>
      <c r="E160" s="2">
        <v>99227</v>
      </c>
      <c r="F160" s="98">
        <v>0</v>
      </c>
      <c r="G160" s="4">
        <v>99227</v>
      </c>
      <c r="H160" s="7">
        <f t="shared" si="70"/>
        <v>0</v>
      </c>
      <c r="I160" s="2"/>
      <c r="J160" s="2"/>
      <c r="K160" s="41">
        <f t="shared" ref="K160:K169" si="71">SUM(L160:O160)</f>
        <v>0</v>
      </c>
      <c r="L160" s="2"/>
      <c r="M160" s="2"/>
      <c r="N160" s="2"/>
      <c r="O160" s="2">
        <v>0</v>
      </c>
      <c r="P160" s="41">
        <f t="shared" ref="P160:P170" si="72">SUM(Q160:T160)</f>
        <v>0</v>
      </c>
      <c r="Q160" s="2"/>
      <c r="R160" s="2"/>
      <c r="S160" s="2"/>
      <c r="T160" s="2"/>
      <c r="U160" s="46">
        <f t="shared" ref="U160:U170" si="73">SUM(V160:Y160)</f>
        <v>0</v>
      </c>
      <c r="V160" s="2"/>
      <c r="W160" s="2"/>
      <c r="X160" s="2"/>
      <c r="Y160" s="2">
        <v>0</v>
      </c>
      <c r="Z160" s="137">
        <f>P160-U160</f>
        <v>0</v>
      </c>
      <c r="AA160" s="2">
        <v>0</v>
      </c>
      <c r="AB160" s="50"/>
      <c r="AC160" s="49"/>
    </row>
    <row r="161" spans="1:29" ht="29.25" customHeight="1" x14ac:dyDescent="0.25">
      <c r="A161" s="168" t="s">
        <v>45</v>
      </c>
      <c r="B161" s="3" t="s">
        <v>1</v>
      </c>
      <c r="C161" s="3">
        <v>226</v>
      </c>
      <c r="D161" s="26" t="s">
        <v>269</v>
      </c>
      <c r="E161" s="2">
        <v>325341.67</v>
      </c>
      <c r="F161" s="98">
        <v>0</v>
      </c>
      <c r="G161" s="4">
        <v>0</v>
      </c>
      <c r="H161" s="7">
        <f t="shared" si="70"/>
        <v>325341.67</v>
      </c>
      <c r="I161" s="2"/>
      <c r="J161" s="2"/>
      <c r="K161" s="41">
        <f t="shared" si="71"/>
        <v>325341.67</v>
      </c>
      <c r="L161" s="2"/>
      <c r="M161" s="2"/>
      <c r="N161" s="2"/>
      <c r="O161" s="2">
        <f>E161</f>
        <v>325341.67</v>
      </c>
      <c r="P161" s="41">
        <f t="shared" si="72"/>
        <v>325341.67</v>
      </c>
      <c r="Q161" s="2"/>
      <c r="R161" s="2"/>
      <c r="S161" s="2"/>
      <c r="T161" s="2">
        <f>O161</f>
        <v>325341.67</v>
      </c>
      <c r="U161" s="46">
        <f t="shared" si="73"/>
        <v>325341.67</v>
      </c>
      <c r="V161" s="2"/>
      <c r="W161" s="2"/>
      <c r="X161" s="2"/>
      <c r="Y161" s="2">
        <f>T161</f>
        <v>325341.67</v>
      </c>
      <c r="Z161" s="137">
        <f>P161-U161</f>
        <v>0</v>
      </c>
      <c r="AA161" s="2">
        <v>0</v>
      </c>
      <c r="AB161" s="50"/>
      <c r="AC161" s="49"/>
    </row>
    <row r="162" spans="1:29" ht="24.75" customHeight="1" x14ac:dyDescent="0.25">
      <c r="A162" s="144" t="s">
        <v>46</v>
      </c>
      <c r="B162" s="1" t="s">
        <v>1</v>
      </c>
      <c r="C162" s="1">
        <v>226</v>
      </c>
      <c r="D162" s="26" t="s">
        <v>302</v>
      </c>
      <c r="E162" s="2">
        <v>71438</v>
      </c>
      <c r="F162" s="98">
        <v>0</v>
      </c>
      <c r="G162" s="4">
        <v>0</v>
      </c>
      <c r="H162" s="7">
        <f t="shared" si="70"/>
        <v>71438</v>
      </c>
      <c r="I162" s="2"/>
      <c r="J162" s="2"/>
      <c r="K162" s="41">
        <f t="shared" si="71"/>
        <v>71438</v>
      </c>
      <c r="L162" s="2"/>
      <c r="M162" s="2"/>
      <c r="N162" s="2"/>
      <c r="O162" s="2">
        <v>71438</v>
      </c>
      <c r="P162" s="41">
        <f t="shared" si="72"/>
        <v>71438</v>
      </c>
      <c r="Q162" s="2"/>
      <c r="R162" s="2"/>
      <c r="S162" s="2"/>
      <c r="T162" s="2">
        <v>71438</v>
      </c>
      <c r="U162" s="77">
        <f t="shared" si="73"/>
        <v>71438</v>
      </c>
      <c r="V162" s="2"/>
      <c r="W162" s="2"/>
      <c r="X162" s="2"/>
      <c r="Y162" s="2">
        <v>71438</v>
      </c>
      <c r="Z162" s="137">
        <f>P162-U162</f>
        <v>0</v>
      </c>
      <c r="AA162" s="2">
        <v>0</v>
      </c>
      <c r="AB162" s="50"/>
      <c r="AC162" s="49"/>
    </row>
    <row r="163" spans="1:29" ht="37.5" customHeight="1" x14ac:dyDescent="0.25">
      <c r="A163" s="144" t="s">
        <v>47</v>
      </c>
      <c r="B163" s="1" t="s">
        <v>11</v>
      </c>
      <c r="C163" s="1">
        <v>226</v>
      </c>
      <c r="D163" s="26" t="s">
        <v>318</v>
      </c>
      <c r="E163" s="2">
        <v>2668865.1</v>
      </c>
      <c r="F163" s="98">
        <v>0</v>
      </c>
      <c r="G163" s="4">
        <v>0</v>
      </c>
      <c r="H163" s="7">
        <f t="shared" si="70"/>
        <v>2668865.1</v>
      </c>
      <c r="I163" s="2"/>
      <c r="J163" s="2"/>
      <c r="K163" s="41">
        <f t="shared" si="71"/>
        <v>894162.61</v>
      </c>
      <c r="L163" s="2"/>
      <c r="M163" s="2"/>
      <c r="N163" s="2"/>
      <c r="O163" s="2">
        <v>894162.61</v>
      </c>
      <c r="P163" s="41">
        <f t="shared" si="72"/>
        <v>2668865.1</v>
      </c>
      <c r="Q163" s="2"/>
      <c r="R163" s="2"/>
      <c r="S163" s="2"/>
      <c r="T163" s="2">
        <f>E163</f>
        <v>2668865.1</v>
      </c>
      <c r="U163" s="77">
        <f t="shared" si="73"/>
        <v>894162.61</v>
      </c>
      <c r="V163" s="2"/>
      <c r="W163" s="2"/>
      <c r="X163" s="2"/>
      <c r="Y163" s="2">
        <f>O163</f>
        <v>894162.61</v>
      </c>
      <c r="Z163" s="137">
        <f>P163-U163</f>
        <v>1774702.4900000002</v>
      </c>
      <c r="AA163" s="2">
        <f>Z163</f>
        <v>1774702.4900000002</v>
      </c>
      <c r="AB163" s="50"/>
      <c r="AC163" s="49"/>
    </row>
    <row r="164" spans="1:29" ht="36.75" customHeight="1" x14ac:dyDescent="0.25">
      <c r="A164" s="60" t="s">
        <v>48</v>
      </c>
      <c r="B164" s="61" t="s">
        <v>20</v>
      </c>
      <c r="C164" s="61">
        <v>226</v>
      </c>
      <c r="D164" s="136" t="s">
        <v>311</v>
      </c>
      <c r="E164" s="137">
        <v>140000</v>
      </c>
      <c r="F164" s="98">
        <v>0</v>
      </c>
      <c r="G164" s="4">
        <v>0</v>
      </c>
      <c r="H164" s="7">
        <f t="shared" si="70"/>
        <v>140000</v>
      </c>
      <c r="I164" s="7"/>
      <c r="J164" s="7"/>
      <c r="K164" s="63">
        <f t="shared" si="71"/>
        <v>0</v>
      </c>
      <c r="L164" s="7"/>
      <c r="M164" s="7"/>
      <c r="N164" s="7"/>
      <c r="O164" s="7">
        <v>0</v>
      </c>
      <c r="P164" s="63">
        <f t="shared" si="72"/>
        <v>140000</v>
      </c>
      <c r="Q164" s="7"/>
      <c r="R164" s="7"/>
      <c r="S164" s="7"/>
      <c r="T164" s="7">
        <f>H164</f>
        <v>140000</v>
      </c>
      <c r="U164" s="64">
        <f t="shared" si="73"/>
        <v>0</v>
      </c>
      <c r="V164" s="7"/>
      <c r="W164" s="7"/>
      <c r="X164" s="7"/>
      <c r="Y164" s="7">
        <v>0</v>
      </c>
      <c r="Z164" s="7">
        <f t="shared" ref="Z164:Z170" si="74">T164-O164</f>
        <v>140000</v>
      </c>
      <c r="AA164" s="7">
        <f>O164-Y164</f>
        <v>0</v>
      </c>
      <c r="AB164" s="50"/>
      <c r="AC164" s="49"/>
    </row>
    <row r="165" spans="1:29" ht="39" customHeight="1" x14ac:dyDescent="0.25">
      <c r="A165" s="168" t="s">
        <v>49</v>
      </c>
      <c r="B165" s="3" t="s">
        <v>12</v>
      </c>
      <c r="C165" s="3">
        <v>226</v>
      </c>
      <c r="D165" s="136" t="s">
        <v>312</v>
      </c>
      <c r="E165" s="2">
        <v>571128.12</v>
      </c>
      <c r="F165" s="98">
        <v>0</v>
      </c>
      <c r="G165" s="4">
        <v>0</v>
      </c>
      <c r="H165" s="7">
        <f t="shared" si="70"/>
        <v>571128.12</v>
      </c>
      <c r="I165" s="2"/>
      <c r="J165" s="2"/>
      <c r="K165" s="41">
        <f t="shared" si="71"/>
        <v>0</v>
      </c>
      <c r="L165" s="2"/>
      <c r="M165" s="2"/>
      <c r="N165" s="2"/>
      <c r="O165" s="2">
        <v>0</v>
      </c>
      <c r="P165" s="41">
        <f t="shared" si="72"/>
        <v>571128.12</v>
      </c>
      <c r="Q165" s="2"/>
      <c r="R165" s="2"/>
      <c r="S165" s="2"/>
      <c r="T165" s="7">
        <f t="shared" ref="T165:T170" si="75">H165</f>
        <v>571128.12</v>
      </c>
      <c r="U165" s="46">
        <f t="shared" si="73"/>
        <v>0</v>
      </c>
      <c r="V165" s="2"/>
      <c r="W165" s="2"/>
      <c r="X165" s="2"/>
      <c r="Y165" s="2">
        <v>0</v>
      </c>
      <c r="Z165" s="7">
        <f t="shared" si="74"/>
        <v>571128.12</v>
      </c>
      <c r="AA165" s="7">
        <v>0</v>
      </c>
      <c r="AB165" s="50"/>
      <c r="AC165" s="49"/>
    </row>
    <row r="166" spans="1:29" ht="38.25" customHeight="1" x14ac:dyDescent="0.25">
      <c r="A166" s="168" t="s">
        <v>50</v>
      </c>
      <c r="B166" s="3" t="s">
        <v>13</v>
      </c>
      <c r="C166" s="3">
        <v>226</v>
      </c>
      <c r="D166" s="136" t="s">
        <v>304</v>
      </c>
      <c r="E166" s="2">
        <v>865014.29</v>
      </c>
      <c r="F166" s="98">
        <v>0</v>
      </c>
      <c r="G166" s="4">
        <v>0</v>
      </c>
      <c r="H166" s="7">
        <f t="shared" si="70"/>
        <v>865014.29</v>
      </c>
      <c r="I166" s="2"/>
      <c r="J166" s="2"/>
      <c r="K166" s="41">
        <f t="shared" si="71"/>
        <v>0</v>
      </c>
      <c r="L166" s="2"/>
      <c r="M166" s="2"/>
      <c r="N166" s="2"/>
      <c r="O166" s="2">
        <v>0</v>
      </c>
      <c r="P166" s="41">
        <f t="shared" si="72"/>
        <v>865014.29</v>
      </c>
      <c r="Q166" s="2"/>
      <c r="R166" s="2"/>
      <c r="S166" s="2"/>
      <c r="T166" s="7">
        <f t="shared" si="75"/>
        <v>865014.29</v>
      </c>
      <c r="U166" s="46">
        <f t="shared" si="73"/>
        <v>0</v>
      </c>
      <c r="V166" s="2"/>
      <c r="W166" s="2"/>
      <c r="X166" s="2"/>
      <c r="Y166" s="2">
        <v>0</v>
      </c>
      <c r="Z166" s="7">
        <f t="shared" si="74"/>
        <v>865014.29</v>
      </c>
      <c r="AA166" s="7">
        <v>0</v>
      </c>
      <c r="AB166" s="50"/>
      <c r="AC166" s="49"/>
    </row>
    <row r="167" spans="1:29" ht="36.75" customHeight="1" x14ac:dyDescent="0.25">
      <c r="A167" s="5" t="s">
        <v>51</v>
      </c>
      <c r="B167" s="1" t="s">
        <v>15</v>
      </c>
      <c r="C167" s="1">
        <v>226</v>
      </c>
      <c r="D167" s="136" t="s">
        <v>313</v>
      </c>
      <c r="E167" s="2">
        <v>1009194.28</v>
      </c>
      <c r="F167" s="98">
        <v>0</v>
      </c>
      <c r="G167" s="4">
        <v>0</v>
      </c>
      <c r="H167" s="7">
        <f t="shared" si="70"/>
        <v>1009194.28</v>
      </c>
      <c r="I167" s="2"/>
      <c r="J167" s="2"/>
      <c r="K167" s="41">
        <f t="shared" si="71"/>
        <v>0</v>
      </c>
      <c r="L167" s="2"/>
      <c r="M167" s="2"/>
      <c r="N167" s="2"/>
      <c r="O167" s="2">
        <v>0</v>
      </c>
      <c r="P167" s="41">
        <f t="shared" si="72"/>
        <v>1009194.28</v>
      </c>
      <c r="Q167" s="2"/>
      <c r="R167" s="2"/>
      <c r="S167" s="2"/>
      <c r="T167" s="7">
        <f t="shared" si="75"/>
        <v>1009194.28</v>
      </c>
      <c r="U167" s="77">
        <f t="shared" si="73"/>
        <v>0</v>
      </c>
      <c r="V167" s="2"/>
      <c r="W167" s="2"/>
      <c r="X167" s="2"/>
      <c r="Y167" s="2">
        <v>0</v>
      </c>
      <c r="Z167" s="7">
        <f t="shared" si="74"/>
        <v>1009194.28</v>
      </c>
      <c r="AA167" s="7">
        <v>0</v>
      </c>
      <c r="AB167" s="50"/>
      <c r="AC167" s="49"/>
    </row>
    <row r="168" spans="1:29" ht="51" customHeight="1" x14ac:dyDescent="0.25">
      <c r="A168" s="60" t="s">
        <v>35</v>
      </c>
      <c r="B168" s="61" t="s">
        <v>270</v>
      </c>
      <c r="C168" s="61">
        <v>226</v>
      </c>
      <c r="D168" s="136" t="s">
        <v>314</v>
      </c>
      <c r="E168" s="137">
        <v>6170144.46</v>
      </c>
      <c r="F168" s="98">
        <v>0</v>
      </c>
      <c r="G168" s="4">
        <v>0</v>
      </c>
      <c r="H168" s="7">
        <f>E168-F168-G168</f>
        <v>6170144.46</v>
      </c>
      <c r="I168" s="7"/>
      <c r="J168" s="7"/>
      <c r="K168" s="63">
        <f t="shared" si="71"/>
        <v>0</v>
      </c>
      <c r="L168" s="7"/>
      <c r="M168" s="7"/>
      <c r="N168" s="7"/>
      <c r="O168" s="7">
        <v>0</v>
      </c>
      <c r="P168" s="63">
        <f t="shared" si="72"/>
        <v>6170144.46</v>
      </c>
      <c r="Q168" s="7"/>
      <c r="R168" s="7"/>
      <c r="S168" s="7"/>
      <c r="T168" s="7">
        <f t="shared" si="75"/>
        <v>6170144.46</v>
      </c>
      <c r="U168" s="64">
        <f t="shared" si="73"/>
        <v>0</v>
      </c>
      <c r="V168" s="7"/>
      <c r="W168" s="7"/>
      <c r="X168" s="7"/>
      <c r="Y168" s="7">
        <v>0</v>
      </c>
      <c r="Z168" s="7">
        <f t="shared" si="74"/>
        <v>6170144.46</v>
      </c>
      <c r="AA168" s="7">
        <f>O168</f>
        <v>0</v>
      </c>
      <c r="AB168" s="50"/>
      <c r="AC168" s="49"/>
    </row>
    <row r="169" spans="1:29" ht="56.25" customHeight="1" x14ac:dyDescent="0.25">
      <c r="A169" s="60" t="s">
        <v>118</v>
      </c>
      <c r="B169" s="61" t="s">
        <v>208</v>
      </c>
      <c r="C169" s="61">
        <v>226</v>
      </c>
      <c r="D169" s="136" t="s">
        <v>314</v>
      </c>
      <c r="E169" s="137">
        <v>70000</v>
      </c>
      <c r="F169" s="98">
        <v>0</v>
      </c>
      <c r="G169" s="4">
        <v>0</v>
      </c>
      <c r="H169" s="7">
        <f>E169-F169-G169</f>
        <v>70000</v>
      </c>
      <c r="I169" s="7"/>
      <c r="J169" s="7"/>
      <c r="K169" s="63">
        <f t="shared" si="71"/>
        <v>0</v>
      </c>
      <c r="L169" s="7"/>
      <c r="M169" s="7"/>
      <c r="N169" s="7"/>
      <c r="O169" s="7">
        <v>0</v>
      </c>
      <c r="P169" s="63">
        <f t="shared" si="72"/>
        <v>70000</v>
      </c>
      <c r="Q169" s="7"/>
      <c r="R169" s="7"/>
      <c r="S169" s="7"/>
      <c r="T169" s="7">
        <f t="shared" si="75"/>
        <v>70000</v>
      </c>
      <c r="U169" s="64">
        <f t="shared" si="73"/>
        <v>0</v>
      </c>
      <c r="V169" s="7"/>
      <c r="W169" s="7"/>
      <c r="X169" s="7"/>
      <c r="Y169" s="7">
        <v>0</v>
      </c>
      <c r="Z169" s="7">
        <f t="shared" si="74"/>
        <v>70000</v>
      </c>
      <c r="AA169" s="7">
        <f>O169</f>
        <v>0</v>
      </c>
      <c r="AB169" s="50"/>
      <c r="AC169" s="49"/>
    </row>
    <row r="170" spans="1:29" ht="46.15" customHeight="1" x14ac:dyDescent="0.25">
      <c r="A170" s="199" t="s">
        <v>119</v>
      </c>
      <c r="B170" s="68" t="s">
        <v>22</v>
      </c>
      <c r="C170" s="68">
        <v>226</v>
      </c>
      <c r="D170" s="138" t="s">
        <v>271</v>
      </c>
      <c r="E170" s="139">
        <v>9356.75</v>
      </c>
      <c r="F170" s="98">
        <v>0</v>
      </c>
      <c r="G170" s="4">
        <v>0</v>
      </c>
      <c r="H170" s="7">
        <f>E170-F170-G170</f>
        <v>9356.75</v>
      </c>
      <c r="I170" s="7"/>
      <c r="J170" s="7"/>
      <c r="K170" s="63">
        <f>SUM(L170:O170)</f>
        <v>0</v>
      </c>
      <c r="L170" s="7"/>
      <c r="M170" s="7"/>
      <c r="N170" s="7"/>
      <c r="O170" s="7">
        <v>0</v>
      </c>
      <c r="P170" s="63">
        <f t="shared" si="72"/>
        <v>9356.75</v>
      </c>
      <c r="Q170" s="7"/>
      <c r="R170" s="7"/>
      <c r="S170" s="7"/>
      <c r="T170" s="7">
        <f t="shared" si="75"/>
        <v>9356.75</v>
      </c>
      <c r="U170" s="64">
        <f t="shared" si="73"/>
        <v>0</v>
      </c>
      <c r="V170" s="7"/>
      <c r="W170" s="7"/>
      <c r="X170" s="7"/>
      <c r="Y170" s="7">
        <v>0</v>
      </c>
      <c r="Z170" s="7">
        <f t="shared" si="74"/>
        <v>9356.75</v>
      </c>
      <c r="AA170" s="7">
        <f>T170-O170</f>
        <v>9356.75</v>
      </c>
      <c r="AB170" s="50"/>
      <c r="AC170" s="49"/>
    </row>
    <row r="171" spans="1:29" ht="21" customHeight="1" x14ac:dyDescent="0.25">
      <c r="A171" s="17" t="s">
        <v>257</v>
      </c>
      <c r="B171" s="47" t="s">
        <v>258</v>
      </c>
      <c r="C171" s="18"/>
      <c r="D171" s="18"/>
      <c r="E171" s="19">
        <f>SUM(E172:E184)</f>
        <v>98189121.88000001</v>
      </c>
      <c r="F171" s="19">
        <f t="shared" ref="F171:AA171" si="76">SUM(F172:F184)</f>
        <v>0</v>
      </c>
      <c r="G171" s="19">
        <f t="shared" si="76"/>
        <v>99297</v>
      </c>
      <c r="H171" s="19">
        <f t="shared" si="76"/>
        <v>98089824.88000001</v>
      </c>
      <c r="I171" s="19">
        <f t="shared" si="76"/>
        <v>1525.77</v>
      </c>
      <c r="J171" s="158">
        <f>E171/I171</f>
        <v>64353.816027317363</v>
      </c>
      <c r="K171" s="19">
        <f t="shared" si="76"/>
        <v>43955100.25</v>
      </c>
      <c r="L171" s="19">
        <f t="shared" si="76"/>
        <v>29580308.370000001</v>
      </c>
      <c r="M171" s="19">
        <f t="shared" si="76"/>
        <v>12959630.6</v>
      </c>
      <c r="N171" s="19">
        <f t="shared" si="76"/>
        <v>355597.4</v>
      </c>
      <c r="O171" s="19">
        <f t="shared" si="76"/>
        <v>1059563.8799999999</v>
      </c>
      <c r="P171" s="19">
        <f t="shared" si="76"/>
        <v>98089824.88000001</v>
      </c>
      <c r="Q171" s="19">
        <f t="shared" si="76"/>
        <v>29580308.370000001</v>
      </c>
      <c r="R171" s="19">
        <f t="shared" si="76"/>
        <v>12959630.6</v>
      </c>
      <c r="S171" s="19">
        <f t="shared" si="76"/>
        <v>3609585.02</v>
      </c>
      <c r="T171" s="19">
        <f t="shared" si="76"/>
        <v>51940300.889999993</v>
      </c>
      <c r="U171" s="19">
        <f>SUM(U172:U184)</f>
        <v>1059563.8799999999</v>
      </c>
      <c r="V171" s="19">
        <f t="shared" si="76"/>
        <v>0</v>
      </c>
      <c r="W171" s="19">
        <f t="shared" si="76"/>
        <v>0</v>
      </c>
      <c r="X171" s="19">
        <f t="shared" si="76"/>
        <v>0</v>
      </c>
      <c r="Y171" s="19">
        <f t="shared" si="76"/>
        <v>1059563.8799999999</v>
      </c>
      <c r="Z171" s="19">
        <f t="shared" si="76"/>
        <v>54134724.629999988</v>
      </c>
      <c r="AA171" s="143">
        <f t="shared" si="76"/>
        <v>2095736.1600000001</v>
      </c>
      <c r="AB171" s="50"/>
      <c r="AC171" s="49"/>
    </row>
    <row r="172" spans="1:29" ht="39.75" customHeight="1" x14ac:dyDescent="0.25">
      <c r="A172" s="168" t="s">
        <v>43</v>
      </c>
      <c r="B172" s="1" t="s">
        <v>32</v>
      </c>
      <c r="C172" s="3">
        <v>310</v>
      </c>
      <c r="D172" s="142" t="s">
        <v>310</v>
      </c>
      <c r="E172" s="2">
        <v>87000000</v>
      </c>
      <c r="F172" s="98">
        <v>0</v>
      </c>
      <c r="G172" s="4">
        <v>0</v>
      </c>
      <c r="H172" s="7">
        <f t="shared" ref="H172:H179" si="77">E172-F172-G172</f>
        <v>87000000</v>
      </c>
      <c r="I172" s="177">
        <v>1525.77</v>
      </c>
      <c r="J172" s="36">
        <f>E172/I172</f>
        <v>57020.389704870329</v>
      </c>
      <c r="K172" s="41">
        <f>SUM(L172:O172)</f>
        <v>42895536.369999997</v>
      </c>
      <c r="L172" s="181">
        <v>29580308.370000001</v>
      </c>
      <c r="M172" s="181">
        <v>12959630.6</v>
      </c>
      <c r="N172" s="181">
        <v>355597.4</v>
      </c>
      <c r="O172" s="139">
        <v>0</v>
      </c>
      <c r="P172" s="41">
        <f>SUM(Q172:T172)</f>
        <v>87000000</v>
      </c>
      <c r="Q172" s="176">
        <v>29580308.370000001</v>
      </c>
      <c r="R172" s="176">
        <v>12959630.6</v>
      </c>
      <c r="S172" s="176">
        <v>3609585.02</v>
      </c>
      <c r="T172" s="176">
        <f>H172-Q172-R172-S172</f>
        <v>40850476.00999999</v>
      </c>
      <c r="U172" s="46">
        <f>SUM(V172:Y172)</f>
        <v>0</v>
      </c>
      <c r="V172" s="36"/>
      <c r="W172" s="36"/>
      <c r="X172" s="36"/>
      <c r="Y172" s="137">
        <v>0</v>
      </c>
      <c r="Z172" s="36">
        <f>S172+T172-N172</f>
        <v>44104463.629999995</v>
      </c>
      <c r="AA172" s="137">
        <v>0</v>
      </c>
      <c r="AB172" s="50"/>
      <c r="AC172" s="49"/>
    </row>
    <row r="173" spans="1:29" ht="39" customHeight="1" x14ac:dyDescent="0.25">
      <c r="A173" s="168" t="s">
        <v>44</v>
      </c>
      <c r="B173" s="3" t="s">
        <v>10</v>
      </c>
      <c r="C173" s="3">
        <v>226</v>
      </c>
      <c r="D173" s="26" t="s">
        <v>272</v>
      </c>
      <c r="E173" s="2">
        <v>99297</v>
      </c>
      <c r="F173" s="98">
        <v>0</v>
      </c>
      <c r="G173" s="4">
        <v>99297</v>
      </c>
      <c r="H173" s="7">
        <f t="shared" si="77"/>
        <v>0</v>
      </c>
      <c r="I173" s="2"/>
      <c r="J173" s="2"/>
      <c r="K173" s="41">
        <f t="shared" ref="K173:K183" si="78">SUM(L173:O173)</f>
        <v>0</v>
      </c>
      <c r="L173" s="2"/>
      <c r="M173" s="2"/>
      <c r="N173" s="2"/>
      <c r="O173" s="2">
        <v>0</v>
      </c>
      <c r="P173" s="41">
        <f t="shared" ref="P173:P184" si="79">SUM(Q173:T173)</f>
        <v>0</v>
      </c>
      <c r="Q173" s="2"/>
      <c r="R173" s="2"/>
      <c r="S173" s="2"/>
      <c r="T173" s="2">
        <v>0</v>
      </c>
      <c r="U173" s="46">
        <f t="shared" ref="U173:U184" si="80">SUM(V173:Y173)</f>
        <v>0</v>
      </c>
      <c r="V173" s="2"/>
      <c r="W173" s="2"/>
      <c r="X173" s="2"/>
      <c r="Y173" s="2">
        <v>0</v>
      </c>
      <c r="Z173" s="2">
        <f>T173-O173</f>
        <v>0</v>
      </c>
      <c r="AA173" s="2">
        <v>0</v>
      </c>
      <c r="AB173" s="50"/>
      <c r="AC173" s="49"/>
    </row>
    <row r="174" spans="1:29" ht="30" customHeight="1" x14ac:dyDescent="0.25">
      <c r="A174" s="168" t="s">
        <v>45</v>
      </c>
      <c r="B174" s="3" t="s">
        <v>1</v>
      </c>
      <c r="C174" s="3">
        <v>226</v>
      </c>
      <c r="D174" s="27" t="s">
        <v>273</v>
      </c>
      <c r="E174" s="137">
        <v>165401.26999999999</v>
      </c>
      <c r="F174" s="98">
        <v>0</v>
      </c>
      <c r="G174" s="4">
        <v>0</v>
      </c>
      <c r="H174" s="7">
        <f t="shared" si="77"/>
        <v>165401.26999999999</v>
      </c>
      <c r="I174" s="2"/>
      <c r="J174" s="2"/>
      <c r="K174" s="41">
        <f t="shared" si="78"/>
        <v>165401.26999999999</v>
      </c>
      <c r="L174" s="2"/>
      <c r="M174" s="2"/>
      <c r="N174" s="2"/>
      <c r="O174" s="2">
        <v>165401.26999999999</v>
      </c>
      <c r="P174" s="41">
        <f t="shared" si="79"/>
        <v>165401.26999999999</v>
      </c>
      <c r="Q174" s="2"/>
      <c r="R174" s="2"/>
      <c r="S174" s="2"/>
      <c r="T174" s="2">
        <f>O174</f>
        <v>165401.26999999999</v>
      </c>
      <c r="U174" s="46">
        <f t="shared" si="80"/>
        <v>165401.26999999999</v>
      </c>
      <c r="V174" s="2"/>
      <c r="W174" s="2"/>
      <c r="X174" s="2"/>
      <c r="Y174" s="2">
        <f>T174</f>
        <v>165401.26999999999</v>
      </c>
      <c r="Z174" s="2">
        <f>P174-U174</f>
        <v>0</v>
      </c>
      <c r="AA174" s="2">
        <v>0</v>
      </c>
      <c r="AB174" s="50"/>
      <c r="AC174" s="49"/>
    </row>
    <row r="175" spans="1:29" ht="39" customHeight="1" x14ac:dyDescent="0.25">
      <c r="A175" s="144" t="s">
        <v>47</v>
      </c>
      <c r="B175" s="1" t="s">
        <v>11</v>
      </c>
      <c r="C175" s="1">
        <v>226</v>
      </c>
      <c r="D175" s="26" t="s">
        <v>274</v>
      </c>
      <c r="E175" s="2">
        <v>2980542.02</v>
      </c>
      <c r="F175" s="98">
        <v>0</v>
      </c>
      <c r="G175" s="4">
        <v>0</v>
      </c>
      <c r="H175" s="7">
        <f t="shared" si="77"/>
        <v>2980542.02</v>
      </c>
      <c r="I175" s="2"/>
      <c r="J175" s="2"/>
      <c r="K175" s="41">
        <f t="shared" si="78"/>
        <v>894162.61</v>
      </c>
      <c r="L175" s="2"/>
      <c r="M175" s="2"/>
      <c r="N175" s="2"/>
      <c r="O175" s="2">
        <v>894162.61</v>
      </c>
      <c r="P175" s="41">
        <f t="shared" si="79"/>
        <v>2980542.02</v>
      </c>
      <c r="Q175" s="2"/>
      <c r="R175" s="2"/>
      <c r="S175" s="2"/>
      <c r="T175" s="2">
        <f>H175</f>
        <v>2980542.02</v>
      </c>
      <c r="U175" s="77">
        <f t="shared" si="80"/>
        <v>894162.61</v>
      </c>
      <c r="V175" s="2"/>
      <c r="W175" s="2"/>
      <c r="X175" s="2"/>
      <c r="Y175" s="2">
        <f>894162.61</f>
        <v>894162.61</v>
      </c>
      <c r="Z175" s="2">
        <f>P175-K175</f>
        <v>2086379.4100000001</v>
      </c>
      <c r="AA175" s="2">
        <f>Z175</f>
        <v>2086379.4100000001</v>
      </c>
      <c r="AB175" s="50"/>
      <c r="AC175" s="49"/>
    </row>
    <row r="176" spans="1:29" ht="35.25" customHeight="1" x14ac:dyDescent="0.25">
      <c r="A176" s="60" t="s">
        <v>48</v>
      </c>
      <c r="B176" s="61" t="s">
        <v>20</v>
      </c>
      <c r="C176" s="61">
        <v>226</v>
      </c>
      <c r="D176" s="136" t="s">
        <v>311</v>
      </c>
      <c r="E176" s="137">
        <v>140000</v>
      </c>
      <c r="F176" s="98">
        <v>0</v>
      </c>
      <c r="G176" s="4">
        <v>0</v>
      </c>
      <c r="H176" s="7">
        <f t="shared" si="77"/>
        <v>140000</v>
      </c>
      <c r="I176" s="7"/>
      <c r="J176" s="7"/>
      <c r="K176" s="63">
        <f t="shared" si="78"/>
        <v>0</v>
      </c>
      <c r="L176" s="7"/>
      <c r="M176" s="7"/>
      <c r="N176" s="7"/>
      <c r="O176" s="7">
        <v>0</v>
      </c>
      <c r="P176" s="63">
        <f t="shared" si="79"/>
        <v>140000</v>
      </c>
      <c r="Q176" s="7"/>
      <c r="R176" s="7"/>
      <c r="S176" s="7"/>
      <c r="T176" s="2">
        <f t="shared" ref="T176:T184" si="81">H176</f>
        <v>140000</v>
      </c>
      <c r="U176" s="64">
        <f t="shared" si="80"/>
        <v>0</v>
      </c>
      <c r="V176" s="7"/>
      <c r="W176" s="7"/>
      <c r="X176" s="7"/>
      <c r="Y176" s="7">
        <v>0</v>
      </c>
      <c r="Z176" s="7">
        <f t="shared" ref="Z176:Z184" si="82">T176-O176</f>
        <v>140000</v>
      </c>
      <c r="AA176" s="7">
        <f>O176-Y176</f>
        <v>0</v>
      </c>
      <c r="AB176" s="50"/>
      <c r="AC176" s="49"/>
    </row>
    <row r="177" spans="1:29" ht="35.25" customHeight="1" x14ac:dyDescent="0.25">
      <c r="A177" s="168" t="s">
        <v>49</v>
      </c>
      <c r="B177" s="3" t="s">
        <v>12</v>
      </c>
      <c r="C177" s="3">
        <v>226</v>
      </c>
      <c r="D177" s="136" t="s">
        <v>303</v>
      </c>
      <c r="E177" s="2">
        <v>780380.48</v>
      </c>
      <c r="F177" s="98">
        <v>0</v>
      </c>
      <c r="G177" s="4">
        <v>0</v>
      </c>
      <c r="H177" s="7">
        <f t="shared" si="77"/>
        <v>780380.48</v>
      </c>
      <c r="I177" s="2"/>
      <c r="J177" s="2"/>
      <c r="K177" s="41">
        <f t="shared" si="78"/>
        <v>0</v>
      </c>
      <c r="L177" s="2"/>
      <c r="M177" s="2"/>
      <c r="N177" s="2"/>
      <c r="O177" s="7">
        <v>0</v>
      </c>
      <c r="P177" s="41">
        <f t="shared" si="79"/>
        <v>780380.48</v>
      </c>
      <c r="Q177" s="2"/>
      <c r="R177" s="2"/>
      <c r="S177" s="2"/>
      <c r="T177" s="2">
        <f t="shared" si="81"/>
        <v>780380.48</v>
      </c>
      <c r="U177" s="46">
        <f t="shared" si="80"/>
        <v>0</v>
      </c>
      <c r="V177" s="2"/>
      <c r="W177" s="2"/>
      <c r="X177" s="2"/>
      <c r="Y177" s="2">
        <v>0</v>
      </c>
      <c r="Z177" s="7">
        <f t="shared" si="82"/>
        <v>780380.48</v>
      </c>
      <c r="AA177" s="7">
        <v>0</v>
      </c>
      <c r="AB177" s="50"/>
      <c r="AC177" s="49"/>
    </row>
    <row r="178" spans="1:29" ht="39.75" customHeight="1" x14ac:dyDescent="0.25">
      <c r="A178" s="168" t="s">
        <v>50</v>
      </c>
      <c r="B178" s="3" t="s">
        <v>13</v>
      </c>
      <c r="C178" s="3">
        <v>226</v>
      </c>
      <c r="D178" s="136" t="s">
        <v>313</v>
      </c>
      <c r="E178" s="2">
        <v>917747</v>
      </c>
      <c r="F178" s="98">
        <v>0</v>
      </c>
      <c r="G178" s="4">
        <v>0</v>
      </c>
      <c r="H178" s="7">
        <f t="shared" si="77"/>
        <v>917747</v>
      </c>
      <c r="I178" s="2"/>
      <c r="J178" s="2"/>
      <c r="K178" s="41">
        <f t="shared" si="78"/>
        <v>0</v>
      </c>
      <c r="L178" s="2"/>
      <c r="M178" s="2"/>
      <c r="N178" s="2"/>
      <c r="O178" s="7">
        <v>0</v>
      </c>
      <c r="P178" s="41">
        <f t="shared" si="79"/>
        <v>917747</v>
      </c>
      <c r="Q178" s="2"/>
      <c r="R178" s="2"/>
      <c r="S178" s="2"/>
      <c r="T178" s="2">
        <f t="shared" si="81"/>
        <v>917747</v>
      </c>
      <c r="U178" s="46">
        <f t="shared" si="80"/>
        <v>0</v>
      </c>
      <c r="V178" s="2"/>
      <c r="W178" s="2"/>
      <c r="X178" s="2"/>
      <c r="Y178" s="2">
        <v>0</v>
      </c>
      <c r="Z178" s="7">
        <f t="shared" si="82"/>
        <v>917747</v>
      </c>
      <c r="AA178" s="7">
        <v>0</v>
      </c>
      <c r="AB178" s="50"/>
      <c r="AC178" s="49"/>
    </row>
    <row r="179" spans="1:29" ht="42.75" customHeight="1" x14ac:dyDescent="0.25">
      <c r="A179" s="5" t="s">
        <v>51</v>
      </c>
      <c r="B179" s="1" t="s">
        <v>15</v>
      </c>
      <c r="C179" s="1">
        <v>226</v>
      </c>
      <c r="D179" s="136" t="s">
        <v>313</v>
      </c>
      <c r="E179" s="2">
        <v>999698</v>
      </c>
      <c r="F179" s="98">
        <v>0</v>
      </c>
      <c r="G179" s="4">
        <v>0</v>
      </c>
      <c r="H179" s="7">
        <f t="shared" si="77"/>
        <v>999698</v>
      </c>
      <c r="I179" s="2"/>
      <c r="J179" s="2"/>
      <c r="K179" s="41">
        <f>SUM(L179:O179)</f>
        <v>0</v>
      </c>
      <c r="L179" s="2"/>
      <c r="M179" s="2"/>
      <c r="N179" s="2"/>
      <c r="O179" s="7">
        <v>0</v>
      </c>
      <c r="P179" s="41">
        <f t="shared" si="79"/>
        <v>999698</v>
      </c>
      <c r="Q179" s="2"/>
      <c r="R179" s="2"/>
      <c r="S179" s="2"/>
      <c r="T179" s="2">
        <f t="shared" si="81"/>
        <v>999698</v>
      </c>
      <c r="U179" s="77">
        <f t="shared" si="80"/>
        <v>0</v>
      </c>
      <c r="V179" s="2"/>
      <c r="W179" s="2"/>
      <c r="X179" s="2"/>
      <c r="Y179" s="2">
        <v>0</v>
      </c>
      <c r="Z179" s="7">
        <f t="shared" si="82"/>
        <v>999698</v>
      </c>
      <c r="AA179" s="7">
        <v>0</v>
      </c>
      <c r="AB179" s="50"/>
      <c r="AC179" s="49"/>
    </row>
    <row r="180" spans="1:29" ht="51" customHeight="1" x14ac:dyDescent="0.25">
      <c r="A180" s="60" t="s">
        <v>35</v>
      </c>
      <c r="B180" s="61" t="s">
        <v>270</v>
      </c>
      <c r="C180" s="61">
        <v>226</v>
      </c>
      <c r="D180" s="136" t="s">
        <v>314</v>
      </c>
      <c r="E180" s="137">
        <v>3338493.81</v>
      </c>
      <c r="F180" s="98">
        <v>0</v>
      </c>
      <c r="G180" s="4">
        <v>0</v>
      </c>
      <c r="H180" s="7">
        <f>E180-F180-G180</f>
        <v>3338493.81</v>
      </c>
      <c r="I180" s="7"/>
      <c r="J180" s="7"/>
      <c r="K180" s="63">
        <f t="shared" si="78"/>
        <v>0</v>
      </c>
      <c r="L180" s="7"/>
      <c r="M180" s="7"/>
      <c r="N180" s="7"/>
      <c r="O180" s="7">
        <v>0</v>
      </c>
      <c r="P180" s="63">
        <f t="shared" si="79"/>
        <v>3338493.81</v>
      </c>
      <c r="Q180" s="7"/>
      <c r="R180" s="7"/>
      <c r="S180" s="7"/>
      <c r="T180" s="2">
        <f t="shared" si="81"/>
        <v>3338493.81</v>
      </c>
      <c r="U180" s="64">
        <f t="shared" si="80"/>
        <v>0</v>
      </c>
      <c r="V180" s="7"/>
      <c r="W180" s="7"/>
      <c r="X180" s="7"/>
      <c r="Y180" s="7">
        <v>0</v>
      </c>
      <c r="Z180" s="7">
        <f t="shared" si="82"/>
        <v>3338493.81</v>
      </c>
      <c r="AA180" s="7">
        <f>O180</f>
        <v>0</v>
      </c>
      <c r="AB180" s="50"/>
      <c r="AC180" s="49"/>
    </row>
    <row r="181" spans="1:29" ht="61.5" customHeight="1" x14ac:dyDescent="0.25">
      <c r="A181" s="60" t="s">
        <v>118</v>
      </c>
      <c r="B181" s="61" t="s">
        <v>208</v>
      </c>
      <c r="C181" s="61">
        <v>226</v>
      </c>
      <c r="D181" s="136" t="s">
        <v>314</v>
      </c>
      <c r="E181" s="137">
        <v>70000</v>
      </c>
      <c r="F181" s="98">
        <v>0</v>
      </c>
      <c r="G181" s="4">
        <v>0</v>
      </c>
      <c r="H181" s="7">
        <f>E181-F181-G181</f>
        <v>70000</v>
      </c>
      <c r="I181" s="7"/>
      <c r="J181" s="7"/>
      <c r="K181" s="63">
        <f t="shared" si="78"/>
        <v>0</v>
      </c>
      <c r="L181" s="7"/>
      <c r="M181" s="7"/>
      <c r="N181" s="7"/>
      <c r="O181" s="7">
        <v>0</v>
      </c>
      <c r="P181" s="63">
        <f t="shared" si="79"/>
        <v>70000</v>
      </c>
      <c r="Q181" s="7"/>
      <c r="R181" s="7"/>
      <c r="S181" s="7"/>
      <c r="T181" s="2">
        <f t="shared" si="81"/>
        <v>70000</v>
      </c>
      <c r="U181" s="64">
        <f t="shared" si="80"/>
        <v>0</v>
      </c>
      <c r="V181" s="7"/>
      <c r="W181" s="7"/>
      <c r="X181" s="7"/>
      <c r="Y181" s="7">
        <v>0</v>
      </c>
      <c r="Z181" s="7">
        <f t="shared" si="82"/>
        <v>70000</v>
      </c>
      <c r="AA181" s="7">
        <f>O181</f>
        <v>0</v>
      </c>
      <c r="AB181" s="50"/>
      <c r="AC181" s="49"/>
    </row>
    <row r="182" spans="1:29" ht="61.5" customHeight="1" x14ac:dyDescent="0.25">
      <c r="A182" s="199" t="s">
        <v>119</v>
      </c>
      <c r="B182" s="68" t="s">
        <v>22</v>
      </c>
      <c r="C182" s="68">
        <v>226</v>
      </c>
      <c r="D182" s="140" t="s">
        <v>275</v>
      </c>
      <c r="E182" s="137">
        <v>9356.75</v>
      </c>
      <c r="F182" s="98">
        <v>0</v>
      </c>
      <c r="G182" s="4">
        <v>0</v>
      </c>
      <c r="H182" s="7">
        <f>E182-F182-G182</f>
        <v>9356.75</v>
      </c>
      <c r="I182" s="7"/>
      <c r="J182" s="7"/>
      <c r="K182" s="63">
        <f t="shared" si="78"/>
        <v>0</v>
      </c>
      <c r="L182" s="7"/>
      <c r="M182" s="7"/>
      <c r="N182" s="7"/>
      <c r="O182" s="7">
        <v>0</v>
      </c>
      <c r="P182" s="63">
        <f t="shared" si="79"/>
        <v>9356.75</v>
      </c>
      <c r="Q182" s="7"/>
      <c r="R182" s="7"/>
      <c r="S182" s="7"/>
      <c r="T182" s="2">
        <f t="shared" si="81"/>
        <v>9356.75</v>
      </c>
      <c r="U182" s="64">
        <f t="shared" si="80"/>
        <v>0</v>
      </c>
      <c r="V182" s="7"/>
      <c r="W182" s="7"/>
      <c r="X182" s="7"/>
      <c r="Y182" s="7">
        <v>0</v>
      </c>
      <c r="Z182" s="7">
        <f t="shared" si="82"/>
        <v>9356.75</v>
      </c>
      <c r="AA182" s="7">
        <f>Z182</f>
        <v>9356.75</v>
      </c>
      <c r="AB182" s="50"/>
      <c r="AC182" s="49"/>
    </row>
    <row r="183" spans="1:29" ht="61.5" customHeight="1" x14ac:dyDescent="0.25">
      <c r="A183" s="60" t="s">
        <v>276</v>
      </c>
      <c r="B183" s="68" t="s">
        <v>277</v>
      </c>
      <c r="C183" s="68">
        <v>226</v>
      </c>
      <c r="D183" s="136" t="s">
        <v>312</v>
      </c>
      <c r="E183" s="137">
        <f>786970.43</f>
        <v>786970.43</v>
      </c>
      <c r="F183" s="98">
        <v>0</v>
      </c>
      <c r="G183" s="4">
        <v>0</v>
      </c>
      <c r="H183" s="7">
        <f>E183-F183-G183</f>
        <v>786970.43</v>
      </c>
      <c r="I183" s="7"/>
      <c r="J183" s="7"/>
      <c r="K183" s="63">
        <f t="shared" si="78"/>
        <v>0</v>
      </c>
      <c r="L183" s="7"/>
      <c r="M183" s="7"/>
      <c r="N183" s="7"/>
      <c r="O183" s="7">
        <v>0</v>
      </c>
      <c r="P183" s="63">
        <f t="shared" si="79"/>
        <v>786970.43</v>
      </c>
      <c r="Q183" s="7"/>
      <c r="R183" s="7"/>
      <c r="S183" s="7"/>
      <c r="T183" s="2">
        <f t="shared" si="81"/>
        <v>786970.43</v>
      </c>
      <c r="U183" s="64">
        <f t="shared" si="80"/>
        <v>0</v>
      </c>
      <c r="V183" s="7"/>
      <c r="W183" s="7"/>
      <c r="X183" s="7"/>
      <c r="Y183" s="7">
        <v>0</v>
      </c>
      <c r="Z183" s="7">
        <f t="shared" si="82"/>
        <v>786970.43</v>
      </c>
      <c r="AA183" s="7">
        <v>0</v>
      </c>
      <c r="AB183" s="50"/>
      <c r="AC183" s="49"/>
    </row>
    <row r="184" spans="1:29" ht="59.25" customHeight="1" x14ac:dyDescent="0.25">
      <c r="A184" s="60" t="s">
        <v>278</v>
      </c>
      <c r="B184" s="68" t="s">
        <v>279</v>
      </c>
      <c r="C184" s="68">
        <v>226</v>
      </c>
      <c r="D184" s="136" t="s">
        <v>314</v>
      </c>
      <c r="E184" s="137">
        <v>901235.12</v>
      </c>
      <c r="F184" s="98">
        <v>0</v>
      </c>
      <c r="G184" s="4">
        <v>0</v>
      </c>
      <c r="H184" s="7">
        <f>E184-F184-G184</f>
        <v>901235.12</v>
      </c>
      <c r="I184" s="7"/>
      <c r="J184" s="7"/>
      <c r="K184" s="63">
        <f>SUM(L184:O184)</f>
        <v>0</v>
      </c>
      <c r="L184" s="7"/>
      <c r="M184" s="7"/>
      <c r="N184" s="7"/>
      <c r="O184" s="7">
        <v>0</v>
      </c>
      <c r="P184" s="63">
        <f t="shared" si="79"/>
        <v>901235.12</v>
      </c>
      <c r="Q184" s="7"/>
      <c r="R184" s="7"/>
      <c r="S184" s="7"/>
      <c r="T184" s="2">
        <f t="shared" si="81"/>
        <v>901235.12</v>
      </c>
      <c r="U184" s="64">
        <f t="shared" si="80"/>
        <v>0</v>
      </c>
      <c r="V184" s="7"/>
      <c r="W184" s="7"/>
      <c r="X184" s="7"/>
      <c r="Y184" s="7">
        <v>0</v>
      </c>
      <c r="Z184" s="7">
        <f t="shared" si="82"/>
        <v>901235.12</v>
      </c>
      <c r="AA184" s="7">
        <v>0</v>
      </c>
      <c r="AB184" s="50"/>
      <c r="AC184" s="49"/>
    </row>
    <row r="185" spans="1:29" ht="39" customHeight="1" x14ac:dyDescent="0.25">
      <c r="A185" s="195"/>
      <c r="B185" s="196" t="s">
        <v>331</v>
      </c>
      <c r="C185" s="196"/>
      <c r="D185" s="197" t="s">
        <v>328</v>
      </c>
      <c r="E185" s="191">
        <f>E158+E171</f>
        <v>200188831.55000001</v>
      </c>
      <c r="F185" s="191">
        <f t="shared" ref="F185:AA186" si="83">F158+F171</f>
        <v>0</v>
      </c>
      <c r="G185" s="191">
        <f t="shared" si="83"/>
        <v>198524</v>
      </c>
      <c r="H185" s="191">
        <f t="shared" si="83"/>
        <v>199990307.55000001</v>
      </c>
      <c r="I185" s="191">
        <f t="shared" si="83"/>
        <v>2883.04</v>
      </c>
      <c r="J185" s="191">
        <f t="shared" si="83"/>
        <v>139504.4564083764</v>
      </c>
      <c r="K185" s="191">
        <f t="shared" si="83"/>
        <v>89831259.420000002</v>
      </c>
      <c r="L185" s="191">
        <f t="shared" si="83"/>
        <v>60325802.57</v>
      </c>
      <c r="M185" s="191">
        <f t="shared" si="83"/>
        <v>26429748.699999999</v>
      </c>
      <c r="N185" s="191">
        <f t="shared" si="83"/>
        <v>725201.99</v>
      </c>
      <c r="O185" s="191">
        <f t="shared" si="83"/>
        <v>2350506.16</v>
      </c>
      <c r="P185" s="191">
        <f t="shared" si="83"/>
        <v>199990307.55000001</v>
      </c>
      <c r="Q185" s="191">
        <f t="shared" si="83"/>
        <v>60325802.57</v>
      </c>
      <c r="R185" s="191">
        <f t="shared" si="83"/>
        <v>26429748.699999999</v>
      </c>
      <c r="S185" s="191">
        <f t="shared" si="83"/>
        <v>7361353.7200000007</v>
      </c>
      <c r="T185" s="191">
        <f t="shared" si="83"/>
        <v>105873402.55999999</v>
      </c>
      <c r="U185" s="191">
        <f t="shared" si="83"/>
        <v>2350506.16</v>
      </c>
      <c r="V185" s="191">
        <f t="shared" si="83"/>
        <v>0</v>
      </c>
      <c r="W185" s="191">
        <f t="shared" si="83"/>
        <v>0</v>
      </c>
      <c r="X185" s="191">
        <f t="shared" si="83"/>
        <v>0</v>
      </c>
      <c r="Y185" s="191">
        <f t="shared" si="83"/>
        <v>2350506.16</v>
      </c>
      <c r="Z185" s="191">
        <f t="shared" si="83"/>
        <v>110159048.12999998</v>
      </c>
      <c r="AA185" s="191">
        <f t="shared" si="83"/>
        <v>3879795.4000000004</v>
      </c>
      <c r="AB185" s="50"/>
      <c r="AC185" s="49"/>
    </row>
    <row r="186" spans="1:29" ht="20.100000000000001" customHeight="1" x14ac:dyDescent="0.25">
      <c r="A186" s="189"/>
      <c r="B186" s="192" t="s">
        <v>194</v>
      </c>
      <c r="C186" s="193">
        <v>310</v>
      </c>
      <c r="D186" s="194" t="s">
        <v>328</v>
      </c>
      <c r="E186" s="190">
        <f>E159+E172</f>
        <v>177000000</v>
      </c>
      <c r="F186" s="190">
        <f t="shared" si="83"/>
        <v>0</v>
      </c>
      <c r="G186" s="190">
        <f t="shared" si="83"/>
        <v>0</v>
      </c>
      <c r="H186" s="190">
        <f t="shared" si="83"/>
        <v>177000000</v>
      </c>
      <c r="I186" s="190">
        <f t="shared" si="83"/>
        <v>3086.33</v>
      </c>
      <c r="J186" s="190">
        <f t="shared" si="83"/>
        <v>114691.99476971885</v>
      </c>
      <c r="K186" s="190">
        <f t="shared" si="83"/>
        <v>87480753.25999999</v>
      </c>
      <c r="L186" s="190">
        <f t="shared" si="83"/>
        <v>60325802.57</v>
      </c>
      <c r="M186" s="190">
        <f t="shared" si="83"/>
        <v>26429748.699999999</v>
      </c>
      <c r="N186" s="190">
        <f t="shared" si="83"/>
        <v>725201.99</v>
      </c>
      <c r="O186" s="190">
        <f t="shared" si="83"/>
        <v>0</v>
      </c>
      <c r="P186" s="190">
        <f t="shared" si="83"/>
        <v>177000000</v>
      </c>
      <c r="Q186" s="190">
        <f t="shared" si="83"/>
        <v>60325802.57</v>
      </c>
      <c r="R186" s="190">
        <f t="shared" si="83"/>
        <v>26429748.699999999</v>
      </c>
      <c r="S186" s="190">
        <f t="shared" si="83"/>
        <v>7361353.7200000007</v>
      </c>
      <c r="T186" s="190">
        <f t="shared" si="83"/>
        <v>82883095.00999999</v>
      </c>
      <c r="U186" s="190">
        <f t="shared" si="83"/>
        <v>0</v>
      </c>
      <c r="V186" s="190">
        <f t="shared" si="83"/>
        <v>0</v>
      </c>
      <c r="W186" s="190">
        <f t="shared" si="83"/>
        <v>0</v>
      </c>
      <c r="X186" s="190">
        <f t="shared" si="83"/>
        <v>0</v>
      </c>
      <c r="Y186" s="190">
        <f t="shared" si="83"/>
        <v>0</v>
      </c>
      <c r="Z186" s="190">
        <f t="shared" si="83"/>
        <v>89519246.73999998</v>
      </c>
      <c r="AA186" s="190">
        <f t="shared" si="83"/>
        <v>0</v>
      </c>
      <c r="AB186" s="50"/>
      <c r="AC186" s="49"/>
    </row>
    <row r="187" spans="1:29" ht="20.100000000000001" customHeight="1" x14ac:dyDescent="0.25">
      <c r="A187" s="189"/>
      <c r="B187" s="192" t="s">
        <v>194</v>
      </c>
      <c r="C187" s="193">
        <v>226</v>
      </c>
      <c r="D187" s="194" t="s">
        <v>328</v>
      </c>
      <c r="E187" s="190">
        <f>E160+E161+E162+E163+E164+E165+E166+E167+E168+E169+E170+E173+E174+E175+E176+E177+E178+E179+E180+E181+E182+E183+E184</f>
        <v>23188831.549999997</v>
      </c>
      <c r="F187" s="190">
        <f t="shared" ref="F187:AA187" si="84">F160+F161+F162+F163+F164+F165+F166+F167+F168+F169+F170+F173+F174+F175+F176+F177+F178+F179+F180+F181+F182+F183+F184</f>
        <v>0</v>
      </c>
      <c r="G187" s="190">
        <f t="shared" si="84"/>
        <v>198524</v>
      </c>
      <c r="H187" s="190">
        <f t="shared" si="84"/>
        <v>22990307.549999997</v>
      </c>
      <c r="I187" s="190">
        <f t="shared" si="84"/>
        <v>0</v>
      </c>
      <c r="J187" s="190">
        <f t="shared" si="84"/>
        <v>0</v>
      </c>
      <c r="K187" s="190">
        <f t="shared" si="84"/>
        <v>2350506.16</v>
      </c>
      <c r="L187" s="190">
        <f t="shared" si="84"/>
        <v>0</v>
      </c>
      <c r="M187" s="190">
        <f t="shared" si="84"/>
        <v>0</v>
      </c>
      <c r="N187" s="190">
        <f t="shared" si="84"/>
        <v>0</v>
      </c>
      <c r="O187" s="190">
        <f t="shared" si="84"/>
        <v>2350506.16</v>
      </c>
      <c r="P187" s="190">
        <f t="shared" si="84"/>
        <v>22990307.549999997</v>
      </c>
      <c r="Q187" s="190">
        <f t="shared" si="84"/>
        <v>0</v>
      </c>
      <c r="R187" s="190">
        <f t="shared" si="84"/>
        <v>0</v>
      </c>
      <c r="S187" s="190">
        <f t="shared" si="84"/>
        <v>0</v>
      </c>
      <c r="T187" s="190">
        <f t="shared" si="84"/>
        <v>22990307.549999997</v>
      </c>
      <c r="U187" s="190">
        <f t="shared" si="84"/>
        <v>2350506.16</v>
      </c>
      <c r="V187" s="190">
        <f t="shared" si="84"/>
        <v>0</v>
      </c>
      <c r="W187" s="190">
        <f t="shared" si="84"/>
        <v>0</v>
      </c>
      <c r="X187" s="190">
        <f t="shared" si="84"/>
        <v>0</v>
      </c>
      <c r="Y187" s="190">
        <f t="shared" si="84"/>
        <v>2350506.16</v>
      </c>
      <c r="Z187" s="190">
        <f t="shared" si="84"/>
        <v>20639801.390000001</v>
      </c>
      <c r="AA187" s="190">
        <f t="shared" si="84"/>
        <v>3879795.4000000004</v>
      </c>
      <c r="AB187" s="50"/>
      <c r="AC187" s="49"/>
    </row>
    <row r="188" spans="1:29" ht="28.9" customHeight="1" x14ac:dyDescent="0.25">
      <c r="A188" s="188"/>
      <c r="B188" s="123" t="s">
        <v>300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78"/>
      <c r="R188" s="178"/>
      <c r="S188" s="178"/>
      <c r="T188" s="124"/>
      <c r="U188" s="124"/>
      <c r="V188" s="124"/>
      <c r="W188" s="124"/>
      <c r="X188" s="124"/>
      <c r="Y188" s="124"/>
      <c r="Z188" s="124"/>
      <c r="AA188" s="125"/>
      <c r="AB188" s="50"/>
      <c r="AC188" s="49"/>
    </row>
    <row r="189" spans="1:29" ht="28.9" customHeight="1" x14ac:dyDescent="0.25">
      <c r="A189" s="122" t="s">
        <v>34</v>
      </c>
      <c r="B189" s="122" t="s">
        <v>280</v>
      </c>
      <c r="C189" s="122"/>
      <c r="D189" s="122"/>
      <c r="E189" s="158">
        <f>SUM(E190:E200)</f>
        <v>175612259.06</v>
      </c>
      <c r="F189" s="158">
        <f t="shared" ref="F189:AA189" si="85">SUM(F190:F200)</f>
        <v>0</v>
      </c>
      <c r="G189" s="158">
        <f t="shared" si="85"/>
        <v>99297</v>
      </c>
      <c r="H189" s="158">
        <f t="shared" si="85"/>
        <v>175512962.06</v>
      </c>
      <c r="I189" s="158">
        <f t="shared" si="85"/>
        <v>2989.92</v>
      </c>
      <c r="J189" s="158">
        <f t="shared" si="85"/>
        <v>54999.962875260877</v>
      </c>
      <c r="K189" s="158">
        <f t="shared" si="85"/>
        <v>165401.26999999999</v>
      </c>
      <c r="L189" s="158">
        <f t="shared" si="85"/>
        <v>0</v>
      </c>
      <c r="M189" s="158">
        <f t="shared" si="85"/>
        <v>0</v>
      </c>
      <c r="N189" s="158">
        <f t="shared" si="85"/>
        <v>0</v>
      </c>
      <c r="O189" s="158">
        <f t="shared" si="85"/>
        <v>165401.26999999999</v>
      </c>
      <c r="P189" s="158">
        <f t="shared" si="85"/>
        <v>175512962.06</v>
      </c>
      <c r="Q189" s="158">
        <f t="shared" si="85"/>
        <v>60649045.020000003</v>
      </c>
      <c r="R189" s="158">
        <f t="shared" si="85"/>
        <v>25996120.91</v>
      </c>
      <c r="S189" s="158">
        <f t="shared" si="85"/>
        <v>13283927.720000001</v>
      </c>
      <c r="T189" s="158">
        <f t="shared" si="85"/>
        <v>75583868.410000011</v>
      </c>
      <c r="U189" s="158">
        <f t="shared" si="85"/>
        <v>165401.26999999999</v>
      </c>
      <c r="V189" s="158">
        <f t="shared" si="85"/>
        <v>0</v>
      </c>
      <c r="W189" s="158">
        <f t="shared" si="85"/>
        <v>0</v>
      </c>
      <c r="X189" s="158">
        <f t="shared" si="85"/>
        <v>0</v>
      </c>
      <c r="Y189" s="158">
        <f t="shared" si="85"/>
        <v>165401.26999999999</v>
      </c>
      <c r="Z189" s="157">
        <f t="shared" si="85"/>
        <v>24185999.509999998</v>
      </c>
      <c r="AA189" s="157">
        <f t="shared" si="85"/>
        <v>16984425.700000003</v>
      </c>
      <c r="AB189" s="50"/>
      <c r="AC189" s="49"/>
    </row>
    <row r="190" spans="1:29" ht="40.9" customHeight="1" x14ac:dyDescent="0.25">
      <c r="A190" s="168" t="s">
        <v>43</v>
      </c>
      <c r="B190" s="1" t="s">
        <v>32</v>
      </c>
      <c r="C190" s="3">
        <v>310</v>
      </c>
      <c r="D190" s="142" t="s">
        <v>310</v>
      </c>
      <c r="E190" s="2">
        <v>164445489</v>
      </c>
      <c r="F190" s="98">
        <v>0</v>
      </c>
      <c r="G190" s="4">
        <v>0</v>
      </c>
      <c r="H190" s="7">
        <f t="shared" ref="H190:H197" si="86">E190-F190-G190</f>
        <v>164445489</v>
      </c>
      <c r="I190" s="36">
        <v>2989.92</v>
      </c>
      <c r="J190" s="36">
        <f>E190/I190</f>
        <v>54999.962875260877</v>
      </c>
      <c r="K190" s="41">
        <f>SUM(L190:O190)</f>
        <v>0</v>
      </c>
      <c r="L190" s="36"/>
      <c r="M190" s="36"/>
      <c r="N190" s="36"/>
      <c r="O190" s="36"/>
      <c r="P190" s="41">
        <f>SUM(Q190:T190)</f>
        <v>164445489</v>
      </c>
      <c r="Q190" s="176">
        <v>60649045.020000003</v>
      </c>
      <c r="R190" s="176">
        <v>25996120.91</v>
      </c>
      <c r="S190" s="176">
        <v>13283927.720000001</v>
      </c>
      <c r="T190" s="176">
        <v>64516395.350000001</v>
      </c>
      <c r="U190" s="46">
        <f>SUM(V190:Y190)</f>
        <v>0</v>
      </c>
      <c r="V190" s="36"/>
      <c r="W190" s="36"/>
      <c r="X190" s="36"/>
      <c r="Y190" s="36"/>
      <c r="Z190" s="137">
        <f>S190-N190</f>
        <v>13283927.720000001</v>
      </c>
      <c r="AA190" s="137">
        <f>Z190+N190-X190+O190</f>
        <v>13283927.720000001</v>
      </c>
      <c r="AB190" s="50"/>
      <c r="AC190" s="49"/>
    </row>
    <row r="191" spans="1:29" ht="48" customHeight="1" x14ac:dyDescent="0.25">
      <c r="A191" s="168" t="s">
        <v>44</v>
      </c>
      <c r="B191" s="3" t="s">
        <v>10</v>
      </c>
      <c r="C191" s="3">
        <v>226</v>
      </c>
      <c r="D191" s="26" t="s">
        <v>283</v>
      </c>
      <c r="E191" s="2">
        <v>99297</v>
      </c>
      <c r="F191" s="98">
        <v>0</v>
      </c>
      <c r="G191" s="4">
        <v>99297</v>
      </c>
      <c r="H191" s="7">
        <f t="shared" si="86"/>
        <v>0</v>
      </c>
      <c r="I191" s="2"/>
      <c r="J191" s="2"/>
      <c r="K191" s="41">
        <f t="shared" ref="K191:K199" si="87">SUM(L191:O191)</f>
        <v>0</v>
      </c>
      <c r="L191" s="2"/>
      <c r="M191" s="2"/>
      <c r="N191" s="2"/>
      <c r="O191" s="2"/>
      <c r="P191" s="41">
        <f>SUM(Q191:T191)</f>
        <v>0</v>
      </c>
      <c r="Q191" s="2"/>
      <c r="R191" s="179"/>
      <c r="S191" s="179"/>
      <c r="T191" s="2">
        <f>E191-F191-G191</f>
        <v>0</v>
      </c>
      <c r="U191" s="46">
        <f t="shared" ref="U191:U198" si="88">SUM(V191:Y191)</f>
        <v>0</v>
      </c>
      <c r="V191" s="2"/>
      <c r="W191" s="2"/>
      <c r="X191" s="2"/>
      <c r="Y191" s="2"/>
      <c r="Z191" s="7">
        <f>P191-K191</f>
        <v>0</v>
      </c>
      <c r="AA191" s="2">
        <f>Z191</f>
        <v>0</v>
      </c>
      <c r="AB191" s="50"/>
      <c r="AC191" s="49"/>
    </row>
    <row r="192" spans="1:29" ht="48" customHeight="1" x14ac:dyDescent="0.25">
      <c r="A192" s="168" t="s">
        <v>45</v>
      </c>
      <c r="B192" s="3" t="s">
        <v>1</v>
      </c>
      <c r="C192" s="3">
        <v>226</v>
      </c>
      <c r="D192" s="27" t="s">
        <v>284</v>
      </c>
      <c r="E192" s="137">
        <v>165401.26999999999</v>
      </c>
      <c r="F192" s="98">
        <v>0</v>
      </c>
      <c r="G192" s="4">
        <v>0</v>
      </c>
      <c r="H192" s="7">
        <f t="shared" si="86"/>
        <v>165401.26999999999</v>
      </c>
      <c r="I192" s="2"/>
      <c r="J192" s="2"/>
      <c r="K192" s="41">
        <f t="shared" si="87"/>
        <v>165401.26999999999</v>
      </c>
      <c r="L192" s="2"/>
      <c r="M192" s="2"/>
      <c r="N192" s="2"/>
      <c r="O192" s="2">
        <f>E192</f>
        <v>165401.26999999999</v>
      </c>
      <c r="P192" s="41">
        <f t="shared" ref="P192:P200" si="89">SUM(Q192:T192)</f>
        <v>165401.26999999999</v>
      </c>
      <c r="Q192" s="2"/>
      <c r="R192" s="2"/>
      <c r="S192" s="2"/>
      <c r="T192" s="2">
        <f>E192-F192-G192</f>
        <v>165401.26999999999</v>
      </c>
      <c r="U192" s="46">
        <f t="shared" si="88"/>
        <v>165401.26999999999</v>
      </c>
      <c r="V192" s="2"/>
      <c r="W192" s="2"/>
      <c r="X192" s="2"/>
      <c r="Y192" s="2">
        <f>T192</f>
        <v>165401.26999999999</v>
      </c>
      <c r="Z192" s="2">
        <f>P192-K192</f>
        <v>0</v>
      </c>
      <c r="AA192" s="2">
        <v>0</v>
      </c>
      <c r="AB192" s="50"/>
      <c r="AC192" s="49"/>
    </row>
    <row r="193" spans="1:29" ht="37.9" customHeight="1" x14ac:dyDescent="0.25">
      <c r="A193" s="5" t="s">
        <v>47</v>
      </c>
      <c r="B193" s="1" t="s">
        <v>11</v>
      </c>
      <c r="C193" s="1">
        <v>226</v>
      </c>
      <c r="D193" s="136" t="s">
        <v>311</v>
      </c>
      <c r="E193" s="2">
        <v>4000000</v>
      </c>
      <c r="F193" s="98"/>
      <c r="G193" s="4"/>
      <c r="H193" s="7">
        <f t="shared" si="86"/>
        <v>4000000</v>
      </c>
      <c r="I193" s="2"/>
      <c r="J193" s="2"/>
      <c r="K193" s="41">
        <f t="shared" si="87"/>
        <v>0</v>
      </c>
      <c r="L193" s="2"/>
      <c r="M193" s="2"/>
      <c r="N193" s="2"/>
      <c r="O193" s="2"/>
      <c r="P193" s="41">
        <f t="shared" si="89"/>
        <v>4000000</v>
      </c>
      <c r="Q193" s="2"/>
      <c r="R193" s="2"/>
      <c r="S193" s="2"/>
      <c r="T193" s="2">
        <f>E193-F193-G193</f>
        <v>4000000</v>
      </c>
      <c r="U193" s="77">
        <f t="shared" si="88"/>
        <v>0</v>
      </c>
      <c r="V193" s="2"/>
      <c r="W193" s="2"/>
      <c r="X193" s="2"/>
      <c r="Y193" s="2"/>
      <c r="Z193" s="7">
        <f>P193-K193</f>
        <v>4000000</v>
      </c>
      <c r="AA193" s="2">
        <v>0</v>
      </c>
      <c r="AB193" s="50"/>
      <c r="AC193" s="49"/>
    </row>
    <row r="194" spans="1:29" ht="39.75" customHeight="1" x14ac:dyDescent="0.25">
      <c r="A194" s="60" t="s">
        <v>48</v>
      </c>
      <c r="B194" s="61" t="s">
        <v>20</v>
      </c>
      <c r="C194" s="61">
        <v>226</v>
      </c>
      <c r="D194" s="136" t="s">
        <v>311</v>
      </c>
      <c r="E194" s="137">
        <v>140000</v>
      </c>
      <c r="F194" s="98"/>
      <c r="G194" s="4"/>
      <c r="H194" s="7">
        <f t="shared" si="86"/>
        <v>140000</v>
      </c>
      <c r="I194" s="7"/>
      <c r="J194" s="7"/>
      <c r="K194" s="63">
        <f t="shared" si="87"/>
        <v>0</v>
      </c>
      <c r="L194" s="7"/>
      <c r="M194" s="7"/>
      <c r="N194" s="7"/>
      <c r="O194" s="7"/>
      <c r="P194" s="63">
        <f t="shared" si="89"/>
        <v>140000</v>
      </c>
      <c r="Q194" s="7"/>
      <c r="R194" s="7"/>
      <c r="S194" s="7"/>
      <c r="T194" s="2">
        <f t="shared" ref="T194:T200" si="90">E194-F194-G194</f>
        <v>140000</v>
      </c>
      <c r="U194" s="64">
        <f t="shared" si="88"/>
        <v>0</v>
      </c>
      <c r="V194" s="7"/>
      <c r="W194" s="7"/>
      <c r="X194" s="7"/>
      <c r="Y194" s="7"/>
      <c r="Z194" s="7">
        <f t="shared" ref="Z194:Z199" si="91">T194-O194</f>
        <v>140000</v>
      </c>
      <c r="AA194" s="7">
        <f>O194-Y194</f>
        <v>0</v>
      </c>
      <c r="AB194" s="50"/>
      <c r="AC194" s="49"/>
    </row>
    <row r="195" spans="1:29" ht="41.25" customHeight="1" x14ac:dyDescent="0.25">
      <c r="A195" s="168" t="s">
        <v>49</v>
      </c>
      <c r="B195" s="3" t="s">
        <v>12</v>
      </c>
      <c r="C195" s="3">
        <v>226</v>
      </c>
      <c r="D195" s="136" t="s">
        <v>312</v>
      </c>
      <c r="E195" s="2">
        <v>643991.23</v>
      </c>
      <c r="F195" s="98"/>
      <c r="G195" s="4"/>
      <c r="H195" s="7">
        <f t="shared" si="86"/>
        <v>643991.23</v>
      </c>
      <c r="I195" s="2"/>
      <c r="J195" s="2"/>
      <c r="K195" s="41">
        <f t="shared" si="87"/>
        <v>0</v>
      </c>
      <c r="L195" s="2"/>
      <c r="M195" s="2"/>
      <c r="N195" s="2"/>
      <c r="O195" s="2"/>
      <c r="P195" s="41">
        <f t="shared" si="89"/>
        <v>643991.23</v>
      </c>
      <c r="Q195" s="2"/>
      <c r="R195" s="2"/>
      <c r="S195" s="2"/>
      <c r="T195" s="2">
        <f t="shared" si="90"/>
        <v>643991.23</v>
      </c>
      <c r="U195" s="46">
        <f t="shared" si="88"/>
        <v>0</v>
      </c>
      <c r="V195" s="2"/>
      <c r="W195" s="2"/>
      <c r="X195" s="2"/>
      <c r="Y195" s="2"/>
      <c r="Z195" s="7">
        <f t="shared" si="91"/>
        <v>643991.23</v>
      </c>
      <c r="AA195" s="7">
        <f>T195-Y195</f>
        <v>643991.23</v>
      </c>
      <c r="AB195" s="50"/>
      <c r="AC195" s="49"/>
    </row>
    <row r="196" spans="1:29" ht="39.75" customHeight="1" x14ac:dyDescent="0.25">
      <c r="A196" s="168" t="s">
        <v>50</v>
      </c>
      <c r="B196" s="3" t="s">
        <v>13</v>
      </c>
      <c r="C196" s="3">
        <v>226</v>
      </c>
      <c r="D196" s="136" t="s">
        <v>313</v>
      </c>
      <c r="E196" s="2">
        <v>1615171</v>
      </c>
      <c r="F196" s="98"/>
      <c r="G196" s="4"/>
      <c r="H196" s="7">
        <f t="shared" si="86"/>
        <v>1615171</v>
      </c>
      <c r="I196" s="2"/>
      <c r="J196" s="2"/>
      <c r="K196" s="41">
        <f t="shared" si="87"/>
        <v>0</v>
      </c>
      <c r="L196" s="2"/>
      <c r="M196" s="2"/>
      <c r="N196" s="2"/>
      <c r="O196" s="2"/>
      <c r="P196" s="41">
        <f t="shared" si="89"/>
        <v>1615171</v>
      </c>
      <c r="Q196" s="2"/>
      <c r="R196" s="2"/>
      <c r="S196" s="2"/>
      <c r="T196" s="2">
        <f t="shared" si="90"/>
        <v>1615171</v>
      </c>
      <c r="U196" s="46">
        <f t="shared" si="88"/>
        <v>0</v>
      </c>
      <c r="V196" s="2"/>
      <c r="W196" s="2"/>
      <c r="X196" s="2"/>
      <c r="Y196" s="2"/>
      <c r="Z196" s="7">
        <f t="shared" si="91"/>
        <v>1615171</v>
      </c>
      <c r="AA196" s="7">
        <f>T196-Y196</f>
        <v>1615171</v>
      </c>
      <c r="AB196" s="50"/>
      <c r="AC196" s="49"/>
    </row>
    <row r="197" spans="1:29" ht="42" customHeight="1" x14ac:dyDescent="0.25">
      <c r="A197" s="5" t="s">
        <v>51</v>
      </c>
      <c r="B197" s="1" t="s">
        <v>15</v>
      </c>
      <c r="C197" s="1">
        <v>226</v>
      </c>
      <c r="D197" s="136" t="s">
        <v>313</v>
      </c>
      <c r="E197" s="2">
        <v>1431979</v>
      </c>
      <c r="F197" s="98"/>
      <c r="G197" s="4"/>
      <c r="H197" s="7">
        <f t="shared" si="86"/>
        <v>1431979</v>
      </c>
      <c r="I197" s="2"/>
      <c r="J197" s="2"/>
      <c r="K197" s="41">
        <f t="shared" si="87"/>
        <v>0</v>
      </c>
      <c r="L197" s="2"/>
      <c r="M197" s="2"/>
      <c r="N197" s="2"/>
      <c r="O197" s="2"/>
      <c r="P197" s="41">
        <f t="shared" si="89"/>
        <v>1431979</v>
      </c>
      <c r="Q197" s="2"/>
      <c r="R197" s="2"/>
      <c r="S197" s="2"/>
      <c r="T197" s="2">
        <f t="shared" si="90"/>
        <v>1431979</v>
      </c>
      <c r="U197" s="77">
        <f t="shared" si="88"/>
        <v>0</v>
      </c>
      <c r="V197" s="2"/>
      <c r="W197" s="2"/>
      <c r="X197" s="2"/>
      <c r="Y197" s="2"/>
      <c r="Z197" s="7">
        <f t="shared" si="91"/>
        <v>1431979</v>
      </c>
      <c r="AA197" s="7">
        <f>T197-Y197</f>
        <v>1431979</v>
      </c>
      <c r="AB197" s="50"/>
      <c r="AC197" s="49"/>
    </row>
    <row r="198" spans="1:29" ht="55.5" customHeight="1" x14ac:dyDescent="0.25">
      <c r="A198" s="60" t="s">
        <v>35</v>
      </c>
      <c r="B198" s="61" t="s">
        <v>270</v>
      </c>
      <c r="C198" s="61">
        <v>226</v>
      </c>
      <c r="D198" s="136" t="s">
        <v>314</v>
      </c>
      <c r="E198" s="137">
        <v>2991573.81</v>
      </c>
      <c r="F198" s="98"/>
      <c r="G198" s="4"/>
      <c r="H198" s="7">
        <f>E198-F198-G198</f>
        <v>2991573.81</v>
      </c>
      <c r="I198" s="7"/>
      <c r="J198" s="7"/>
      <c r="K198" s="63">
        <f t="shared" si="87"/>
        <v>0</v>
      </c>
      <c r="L198" s="7"/>
      <c r="M198" s="7"/>
      <c r="N198" s="7"/>
      <c r="O198" s="7"/>
      <c r="P198" s="63">
        <f t="shared" si="89"/>
        <v>2991573.81</v>
      </c>
      <c r="Q198" s="7"/>
      <c r="R198" s="7"/>
      <c r="S198" s="7"/>
      <c r="T198" s="2">
        <f t="shared" si="90"/>
        <v>2991573.81</v>
      </c>
      <c r="U198" s="64">
        <f t="shared" si="88"/>
        <v>0</v>
      </c>
      <c r="V198" s="7"/>
      <c r="W198" s="7"/>
      <c r="X198" s="7"/>
      <c r="Y198" s="7">
        <v>0</v>
      </c>
      <c r="Z198" s="7">
        <f t="shared" si="91"/>
        <v>2991573.81</v>
      </c>
      <c r="AA198" s="7">
        <f>O198</f>
        <v>0</v>
      </c>
      <c r="AB198" s="50"/>
      <c r="AC198" s="49"/>
    </row>
    <row r="199" spans="1:29" ht="79.5" customHeight="1" x14ac:dyDescent="0.25">
      <c r="A199" s="60" t="s">
        <v>118</v>
      </c>
      <c r="B199" s="61" t="s">
        <v>208</v>
      </c>
      <c r="C199" s="61">
        <v>226</v>
      </c>
      <c r="D199" s="136" t="s">
        <v>314</v>
      </c>
      <c r="E199" s="137">
        <v>70000</v>
      </c>
      <c r="F199" s="98"/>
      <c r="G199" s="4"/>
      <c r="H199" s="7">
        <f>E199-F199-G199</f>
        <v>70000</v>
      </c>
      <c r="I199" s="7"/>
      <c r="J199" s="7"/>
      <c r="K199" s="63">
        <f t="shared" si="87"/>
        <v>0</v>
      </c>
      <c r="L199" s="7"/>
      <c r="M199" s="7"/>
      <c r="N199" s="7"/>
      <c r="O199" s="7"/>
      <c r="P199" s="63">
        <f t="shared" si="89"/>
        <v>70000</v>
      </c>
      <c r="Q199" s="7"/>
      <c r="R199" s="7"/>
      <c r="S199" s="7"/>
      <c r="T199" s="2">
        <f t="shared" si="90"/>
        <v>70000</v>
      </c>
      <c r="U199" s="64">
        <f>SUM(V199:Y199)</f>
        <v>0</v>
      </c>
      <c r="V199" s="7"/>
      <c r="W199" s="7"/>
      <c r="X199" s="7"/>
      <c r="Y199" s="7">
        <v>0</v>
      </c>
      <c r="Z199" s="7">
        <f t="shared" si="91"/>
        <v>70000</v>
      </c>
      <c r="AA199" s="7">
        <f>O199</f>
        <v>0</v>
      </c>
      <c r="AB199" s="50"/>
      <c r="AC199" s="49"/>
    </row>
    <row r="200" spans="1:29" ht="28.9" customHeight="1" x14ac:dyDescent="0.25">
      <c r="A200" s="60" t="s">
        <v>119</v>
      </c>
      <c r="B200" s="68" t="s">
        <v>22</v>
      </c>
      <c r="C200" s="68">
        <v>226</v>
      </c>
      <c r="D200" s="140" t="s">
        <v>285</v>
      </c>
      <c r="E200" s="137">
        <v>9356.75</v>
      </c>
      <c r="F200" s="98"/>
      <c r="G200" s="4"/>
      <c r="H200" s="7">
        <f>E200-F200-G200</f>
        <v>9356.75</v>
      </c>
      <c r="I200" s="7"/>
      <c r="J200" s="7"/>
      <c r="K200" s="63">
        <v>0</v>
      </c>
      <c r="L200" s="7"/>
      <c r="M200" s="7"/>
      <c r="N200" s="7"/>
      <c r="O200" s="7"/>
      <c r="P200" s="63">
        <f t="shared" si="89"/>
        <v>9356.75</v>
      </c>
      <c r="Q200" s="7"/>
      <c r="R200" s="7"/>
      <c r="S200" s="7"/>
      <c r="T200" s="2">
        <f t="shared" si="90"/>
        <v>9356.75</v>
      </c>
      <c r="U200" s="64">
        <f>SUM(V200:Y200)</f>
        <v>0</v>
      </c>
      <c r="V200" s="7"/>
      <c r="W200" s="7"/>
      <c r="X200" s="7"/>
      <c r="Y200" s="7">
        <v>0</v>
      </c>
      <c r="Z200" s="7">
        <f>P200-K200</f>
        <v>9356.75</v>
      </c>
      <c r="AA200" s="7">
        <f>Z200</f>
        <v>9356.75</v>
      </c>
      <c r="AB200" s="50"/>
      <c r="AC200" s="49"/>
    </row>
    <row r="201" spans="1:29" ht="28.9" customHeight="1" x14ac:dyDescent="0.25">
      <c r="A201" s="122" t="s">
        <v>31</v>
      </c>
      <c r="B201" s="122" t="s">
        <v>281</v>
      </c>
      <c r="C201" s="122"/>
      <c r="D201" s="122"/>
      <c r="E201" s="141">
        <f>E202+E205+E206+E207+E208+E209+E210+E211+E212+E213+E214</f>
        <v>110333117.33000001</v>
      </c>
      <c r="F201" s="141">
        <f t="shared" ref="F201:X201" si="92">F202+F205+F206+F207+F208+F209+F210+F211+F212+F213+F214</f>
        <v>0</v>
      </c>
      <c r="G201" s="141">
        <f t="shared" si="92"/>
        <v>99297</v>
      </c>
      <c r="H201" s="141">
        <f t="shared" si="92"/>
        <v>110233820.33000001</v>
      </c>
      <c r="I201" s="141">
        <f t="shared" si="92"/>
        <v>1812.567</v>
      </c>
      <c r="J201" s="141">
        <f t="shared" si="92"/>
        <v>55313.652692562544</v>
      </c>
      <c r="K201" s="141">
        <f t="shared" si="92"/>
        <v>1037395</v>
      </c>
      <c r="L201" s="141">
        <f t="shared" si="92"/>
        <v>0</v>
      </c>
      <c r="M201" s="141">
        <f t="shared" si="92"/>
        <v>0</v>
      </c>
      <c r="N201" s="141">
        <f t="shared" si="92"/>
        <v>0</v>
      </c>
      <c r="O201" s="141">
        <f t="shared" si="92"/>
        <v>1037395</v>
      </c>
      <c r="P201" s="141">
        <f t="shared" si="92"/>
        <v>110233820.33</v>
      </c>
      <c r="Q201" s="141">
        <f t="shared" si="92"/>
        <v>37041550.609999999</v>
      </c>
      <c r="R201" s="141">
        <f t="shared" si="92"/>
        <v>15926205.92</v>
      </c>
      <c r="S201" s="141">
        <f t="shared" si="92"/>
        <v>7611933.8300000001</v>
      </c>
      <c r="T201" s="141">
        <f t="shared" si="92"/>
        <v>49654129.969999999</v>
      </c>
      <c r="U201" s="141">
        <f t="shared" si="92"/>
        <v>165401.26999999999</v>
      </c>
      <c r="V201" s="141">
        <f t="shared" si="92"/>
        <v>0</v>
      </c>
      <c r="W201" s="141">
        <f t="shared" si="92"/>
        <v>0</v>
      </c>
      <c r="X201" s="141">
        <f t="shared" si="92"/>
        <v>0</v>
      </c>
      <c r="Y201" s="141">
        <f>Y202+Y205+Y206+Y207+Y208+Y209+Y210+Y211+Y212+Y213+Y214</f>
        <v>165401.26999999999</v>
      </c>
      <c r="Z201" s="141">
        <f>Z202+Z205+Z206+Z207+Z208+Z209+Z210+Z211+Z212+Z213+Z214</f>
        <v>16486537.57</v>
      </c>
      <c r="AA201" s="141">
        <f>AA202+AA205+AA206+AA207+AA208+AA209+AA210+AA211+AA212+AA213+AA214</f>
        <v>6607143.7300000004</v>
      </c>
      <c r="AB201" s="50"/>
      <c r="AC201" s="49"/>
    </row>
    <row r="202" spans="1:29" ht="36" customHeight="1" x14ac:dyDescent="0.25">
      <c r="A202" s="168" t="s">
        <v>43</v>
      </c>
      <c r="B202" s="1" t="s">
        <v>32</v>
      </c>
      <c r="C202" s="308">
        <v>310</v>
      </c>
      <c r="D202" s="311" t="s">
        <v>310</v>
      </c>
      <c r="E202" s="2">
        <f>SUM(E203:E204)</f>
        <v>100259701.52000001</v>
      </c>
      <c r="F202" s="98"/>
      <c r="G202" s="4"/>
      <c r="H202" s="7">
        <f t="shared" ref="H202:H211" si="93">E202-F202-G202</f>
        <v>100259701.52000001</v>
      </c>
      <c r="I202" s="36">
        <f>1571.35+221.3*1.09</f>
        <v>1812.567</v>
      </c>
      <c r="J202" s="36">
        <f>E202/I202</f>
        <v>55313.652692562544</v>
      </c>
      <c r="K202" s="41">
        <f>SUM(L202:O202)</f>
        <v>0</v>
      </c>
      <c r="L202" s="36"/>
      <c r="M202" s="36"/>
      <c r="N202" s="36"/>
      <c r="O202" s="36"/>
      <c r="P202" s="41">
        <f>SUM(Q202:T202)</f>
        <v>100259701.52</v>
      </c>
      <c r="Q202" s="177">
        <f>SUM(Q203:Q204)</f>
        <v>37041550.609999999</v>
      </c>
      <c r="R202" s="177">
        <f>SUM(R203:R204)</f>
        <v>15926205.92</v>
      </c>
      <c r="S202" s="177">
        <f>SUM(S203:S204)</f>
        <v>7611933.8300000001</v>
      </c>
      <c r="T202" s="177">
        <f>SUM(T203:T204)</f>
        <v>39680011.159999996</v>
      </c>
      <c r="U202" s="46">
        <f>SUM(V202:Y202)</f>
        <v>0</v>
      </c>
      <c r="V202" s="36"/>
      <c r="W202" s="36"/>
      <c r="X202" s="36"/>
      <c r="Y202" s="36"/>
      <c r="Z202" s="137">
        <f>Z203+Z204</f>
        <v>7549813.7599999998</v>
      </c>
      <c r="AA202" s="137">
        <v>0</v>
      </c>
      <c r="AB202" s="50"/>
      <c r="AC202" s="49"/>
    </row>
    <row r="203" spans="1:29" ht="28.9" customHeight="1" x14ac:dyDescent="0.25">
      <c r="A203" s="168"/>
      <c r="B203" s="1" t="s">
        <v>194</v>
      </c>
      <c r="C203" s="309"/>
      <c r="D203" s="312"/>
      <c r="E203" s="2">
        <v>13835381.059999999</v>
      </c>
      <c r="F203" s="98"/>
      <c r="G203" s="4"/>
      <c r="H203" s="161">
        <f t="shared" si="93"/>
        <v>13835381.059999999</v>
      </c>
      <c r="I203" s="36">
        <f>221.3*1.09</f>
        <v>241.21700000000004</v>
      </c>
      <c r="J203" s="36"/>
      <c r="K203" s="41">
        <f>SUM(L203:O203)</f>
        <v>7493512.9499999993</v>
      </c>
      <c r="L203" s="181">
        <v>5167447.3099999996</v>
      </c>
      <c r="M203" s="181">
        <v>2263945.5699999998</v>
      </c>
      <c r="N203" s="181">
        <v>62120.07</v>
      </c>
      <c r="O203" s="181">
        <v>0</v>
      </c>
      <c r="P203" s="41">
        <f>SUM(Q203:T203)</f>
        <v>13835381.059999999</v>
      </c>
      <c r="Q203" s="182">
        <v>5167447.3099999996</v>
      </c>
      <c r="R203" s="182">
        <v>2263945.5699999998</v>
      </c>
      <c r="S203" s="182">
        <v>630566.13</v>
      </c>
      <c r="T203" s="182">
        <v>5773422.0499999998</v>
      </c>
      <c r="U203" s="46">
        <f>SUM(V203:Y203)</f>
        <v>0</v>
      </c>
      <c r="V203" s="36"/>
      <c r="W203" s="36"/>
      <c r="X203" s="36"/>
      <c r="Y203" s="36"/>
      <c r="Z203" s="162">
        <f>S203-N203</f>
        <v>568446.06000000006</v>
      </c>
      <c r="AA203" s="162">
        <v>0</v>
      </c>
      <c r="AB203" s="50"/>
      <c r="AC203" s="49"/>
    </row>
    <row r="204" spans="1:29" ht="28.9" customHeight="1" x14ac:dyDescent="0.25">
      <c r="A204" s="168"/>
      <c r="B204" s="1" t="s">
        <v>286</v>
      </c>
      <c r="C204" s="310"/>
      <c r="D204" s="313"/>
      <c r="E204" s="2">
        <v>86424320.460000008</v>
      </c>
      <c r="F204" s="98"/>
      <c r="G204" s="4"/>
      <c r="H204" s="161">
        <f t="shared" si="93"/>
        <v>86424320.460000008</v>
      </c>
      <c r="I204" s="36">
        <f>I202-I203</f>
        <v>1571.35</v>
      </c>
      <c r="J204" s="36"/>
      <c r="K204" s="41">
        <f>SUM(L204:O204)</f>
        <v>0</v>
      </c>
      <c r="L204" s="36"/>
      <c r="M204" s="36"/>
      <c r="N204" s="36"/>
      <c r="O204" s="36"/>
      <c r="P204" s="41">
        <f>SUM(Q204:T204)</f>
        <v>86424320.460000008</v>
      </c>
      <c r="Q204" s="176">
        <v>31874103.300000001</v>
      </c>
      <c r="R204" s="176">
        <v>13662260.35</v>
      </c>
      <c r="S204" s="176">
        <v>6981367.7000000002</v>
      </c>
      <c r="T204" s="176">
        <v>33906589.109999999</v>
      </c>
      <c r="U204" s="46">
        <f>SUM(V204:Y204)</f>
        <v>0</v>
      </c>
      <c r="V204" s="36"/>
      <c r="W204" s="36"/>
      <c r="X204" s="36"/>
      <c r="Y204" s="36"/>
      <c r="Z204" s="162">
        <f>S204-N204</f>
        <v>6981367.7000000002</v>
      </c>
      <c r="AA204" s="162">
        <f>Z204+N204-X204+O204</f>
        <v>6981367.7000000002</v>
      </c>
      <c r="AB204" s="50"/>
      <c r="AC204" s="49"/>
    </row>
    <row r="205" spans="1:29" ht="39" customHeight="1" x14ac:dyDescent="0.25">
      <c r="A205" s="168" t="s">
        <v>44</v>
      </c>
      <c r="B205" s="3" t="s">
        <v>10</v>
      </c>
      <c r="C205" s="3">
        <v>226</v>
      </c>
      <c r="D205" s="26" t="s">
        <v>287</v>
      </c>
      <c r="E205" s="2">
        <v>99297</v>
      </c>
      <c r="F205" s="98">
        <v>0</v>
      </c>
      <c r="G205" s="4">
        <f>E205</f>
        <v>99297</v>
      </c>
      <c r="H205" s="7">
        <f t="shared" si="93"/>
        <v>0</v>
      </c>
      <c r="I205" s="2"/>
      <c r="J205" s="2"/>
      <c r="K205" s="41">
        <f t="shared" ref="K205:K213" si="94">SUM(L205:O205)</f>
        <v>0</v>
      </c>
      <c r="L205" s="2"/>
      <c r="M205" s="2"/>
      <c r="N205" s="2"/>
      <c r="O205" s="2"/>
      <c r="P205" s="41">
        <f t="shared" ref="P205:P213" si="95">SUM(Q205:T205)</f>
        <v>0</v>
      </c>
      <c r="Q205" s="2"/>
      <c r="R205" s="179"/>
      <c r="S205" s="179"/>
      <c r="T205" s="2">
        <f t="shared" ref="T205:T214" si="96">E205-F205-G205</f>
        <v>0</v>
      </c>
      <c r="U205" s="46">
        <f t="shared" ref="U205:U214" si="97">SUM(V205:Y205)</f>
        <v>0</v>
      </c>
      <c r="V205" s="2"/>
      <c r="W205" s="2"/>
      <c r="X205" s="2"/>
      <c r="Y205" s="2"/>
      <c r="Z205" s="2">
        <f>P205-K205</f>
        <v>0</v>
      </c>
      <c r="AA205" s="2">
        <v>0</v>
      </c>
      <c r="AB205" s="50"/>
      <c r="AC205" s="49"/>
    </row>
    <row r="206" spans="1:29" ht="43.9" customHeight="1" x14ac:dyDescent="0.25">
      <c r="A206" s="168" t="s">
        <v>45</v>
      </c>
      <c r="B206" s="3" t="s">
        <v>1</v>
      </c>
      <c r="C206" s="3">
        <v>226</v>
      </c>
      <c r="D206" s="27" t="s">
        <v>284</v>
      </c>
      <c r="E206" s="137">
        <v>165401.26999999999</v>
      </c>
      <c r="F206" s="98">
        <v>0</v>
      </c>
      <c r="G206" s="4">
        <v>0</v>
      </c>
      <c r="H206" s="7">
        <f t="shared" si="93"/>
        <v>165401.26999999999</v>
      </c>
      <c r="I206" s="2"/>
      <c r="J206" s="2"/>
      <c r="K206" s="41">
        <f t="shared" si="94"/>
        <v>165401.26999999999</v>
      </c>
      <c r="L206" s="2"/>
      <c r="M206" s="2"/>
      <c r="N206" s="2"/>
      <c r="O206" s="2">
        <v>165401.26999999999</v>
      </c>
      <c r="P206" s="41">
        <f t="shared" si="95"/>
        <v>165401.26999999999</v>
      </c>
      <c r="Q206" s="2"/>
      <c r="R206" s="2"/>
      <c r="S206" s="2"/>
      <c r="T206" s="2">
        <f t="shared" si="96"/>
        <v>165401.26999999999</v>
      </c>
      <c r="U206" s="46">
        <f t="shared" si="97"/>
        <v>165401.26999999999</v>
      </c>
      <c r="V206" s="2"/>
      <c r="W206" s="2"/>
      <c r="X206" s="2"/>
      <c r="Y206" s="2">
        <v>165401.26999999999</v>
      </c>
      <c r="Z206" s="2">
        <f>P206-K206</f>
        <v>0</v>
      </c>
      <c r="AA206" s="2">
        <v>0</v>
      </c>
      <c r="AB206" s="50"/>
      <c r="AC206" s="49"/>
    </row>
    <row r="207" spans="1:29" ht="48" customHeight="1" x14ac:dyDescent="0.25">
      <c r="A207" s="5" t="s">
        <v>47</v>
      </c>
      <c r="B207" s="1" t="s">
        <v>11</v>
      </c>
      <c r="C207" s="1">
        <v>226</v>
      </c>
      <c r="D207" s="27" t="s">
        <v>309</v>
      </c>
      <c r="E207" s="137">
        <v>2906645.75</v>
      </c>
      <c r="F207" s="98">
        <v>0</v>
      </c>
      <c r="G207" s="4">
        <v>0</v>
      </c>
      <c r="H207" s="7">
        <f t="shared" si="93"/>
        <v>2906645.75</v>
      </c>
      <c r="I207" s="2"/>
      <c r="J207" s="2"/>
      <c r="K207" s="41">
        <f t="shared" si="94"/>
        <v>871993.73</v>
      </c>
      <c r="L207" s="2"/>
      <c r="M207" s="2"/>
      <c r="N207" s="2"/>
      <c r="O207" s="2">
        <v>871993.73</v>
      </c>
      <c r="P207" s="41">
        <f t="shared" si="95"/>
        <v>2906645.75</v>
      </c>
      <c r="Q207" s="2"/>
      <c r="R207" s="2"/>
      <c r="S207" s="2"/>
      <c r="T207" s="2">
        <f t="shared" si="96"/>
        <v>2906645.75</v>
      </c>
      <c r="U207" s="77">
        <f t="shared" si="97"/>
        <v>0</v>
      </c>
      <c r="V207" s="2"/>
      <c r="W207" s="2"/>
      <c r="X207" s="2"/>
      <c r="Y207" s="2">
        <v>0</v>
      </c>
      <c r="Z207" s="2">
        <f t="shared" ref="Z207:Z214" si="98">T207-O207</f>
        <v>2034652.02</v>
      </c>
      <c r="AA207" s="2">
        <f>T207</f>
        <v>2906645.75</v>
      </c>
      <c r="AB207" s="50"/>
      <c r="AC207" s="49"/>
    </row>
    <row r="208" spans="1:29" ht="42" customHeight="1" x14ac:dyDescent="0.25">
      <c r="A208" s="60" t="s">
        <v>48</v>
      </c>
      <c r="B208" s="61" t="s">
        <v>20</v>
      </c>
      <c r="C208" s="61">
        <v>226</v>
      </c>
      <c r="D208" s="136" t="s">
        <v>315</v>
      </c>
      <c r="E208" s="137">
        <v>140000</v>
      </c>
      <c r="F208" s="98"/>
      <c r="G208" s="4"/>
      <c r="H208" s="7">
        <f t="shared" si="93"/>
        <v>140000</v>
      </c>
      <c r="I208" s="7"/>
      <c r="J208" s="7"/>
      <c r="K208" s="63">
        <f t="shared" si="94"/>
        <v>0</v>
      </c>
      <c r="L208" s="7"/>
      <c r="M208" s="7"/>
      <c r="N208" s="7"/>
      <c r="O208" s="7"/>
      <c r="P208" s="63">
        <f t="shared" si="95"/>
        <v>140000</v>
      </c>
      <c r="Q208" s="7"/>
      <c r="R208" s="7"/>
      <c r="S208" s="7"/>
      <c r="T208" s="2">
        <f t="shared" si="96"/>
        <v>140000</v>
      </c>
      <c r="U208" s="64">
        <f t="shared" si="97"/>
        <v>0</v>
      </c>
      <c r="V208" s="7"/>
      <c r="W208" s="7"/>
      <c r="X208" s="7"/>
      <c r="Y208" s="7"/>
      <c r="Z208" s="7">
        <f t="shared" si="98"/>
        <v>140000</v>
      </c>
      <c r="AA208" s="7">
        <f>O208-Y208</f>
        <v>0</v>
      </c>
      <c r="AB208" s="50"/>
      <c r="AC208" s="49"/>
    </row>
    <row r="209" spans="1:29" ht="39" customHeight="1" x14ac:dyDescent="0.25">
      <c r="A209" s="168" t="s">
        <v>49</v>
      </c>
      <c r="B209" s="3" t="s">
        <v>12</v>
      </c>
      <c r="C209" s="3">
        <v>226</v>
      </c>
      <c r="D209" s="136" t="s">
        <v>312</v>
      </c>
      <c r="E209" s="137">
        <v>643991.23</v>
      </c>
      <c r="F209" s="98"/>
      <c r="G209" s="4"/>
      <c r="H209" s="7">
        <f t="shared" si="93"/>
        <v>643991.23</v>
      </c>
      <c r="I209" s="2"/>
      <c r="J209" s="2"/>
      <c r="K209" s="41">
        <f t="shared" si="94"/>
        <v>0</v>
      </c>
      <c r="L209" s="2"/>
      <c r="M209" s="2"/>
      <c r="N209" s="2"/>
      <c r="O209" s="2"/>
      <c r="P209" s="41">
        <f t="shared" si="95"/>
        <v>643991.23</v>
      </c>
      <c r="Q209" s="2"/>
      <c r="R209" s="2"/>
      <c r="S209" s="2"/>
      <c r="T209" s="2">
        <f t="shared" si="96"/>
        <v>643991.23</v>
      </c>
      <c r="U209" s="46">
        <f t="shared" si="97"/>
        <v>0</v>
      </c>
      <c r="V209" s="2"/>
      <c r="W209" s="2"/>
      <c r="X209" s="2"/>
      <c r="Y209" s="2"/>
      <c r="Z209" s="7">
        <f t="shared" si="98"/>
        <v>643991.23</v>
      </c>
      <c r="AA209" s="7">
        <f>T209-Y209</f>
        <v>643991.23</v>
      </c>
      <c r="AB209" s="50"/>
      <c r="AC209" s="49"/>
    </row>
    <row r="210" spans="1:29" ht="38.25" customHeight="1" x14ac:dyDescent="0.25">
      <c r="A210" s="168" t="s">
        <v>50</v>
      </c>
      <c r="B210" s="3" t="s">
        <v>13</v>
      </c>
      <c r="C210" s="3">
        <v>226</v>
      </c>
      <c r="D210" s="136" t="s">
        <v>313</v>
      </c>
      <c r="E210" s="137">
        <v>1615171</v>
      </c>
      <c r="F210" s="98"/>
      <c r="G210" s="4"/>
      <c r="H210" s="7">
        <f t="shared" si="93"/>
        <v>1615171</v>
      </c>
      <c r="I210" s="2"/>
      <c r="J210" s="2"/>
      <c r="K210" s="41">
        <f t="shared" si="94"/>
        <v>0</v>
      </c>
      <c r="L210" s="2"/>
      <c r="M210" s="2"/>
      <c r="N210" s="2"/>
      <c r="O210" s="2"/>
      <c r="P210" s="41">
        <f t="shared" si="95"/>
        <v>1615171</v>
      </c>
      <c r="Q210" s="2"/>
      <c r="R210" s="2"/>
      <c r="S210" s="2"/>
      <c r="T210" s="2">
        <f t="shared" si="96"/>
        <v>1615171</v>
      </c>
      <c r="U210" s="46">
        <f t="shared" si="97"/>
        <v>0</v>
      </c>
      <c r="V210" s="2"/>
      <c r="W210" s="2"/>
      <c r="X210" s="2"/>
      <c r="Y210" s="2"/>
      <c r="Z210" s="7">
        <f t="shared" si="98"/>
        <v>1615171</v>
      </c>
      <c r="AA210" s="7">
        <f>T210-Y210</f>
        <v>1615171</v>
      </c>
      <c r="AB210" s="50"/>
      <c r="AC210" s="49"/>
    </row>
    <row r="211" spans="1:29" ht="39.75" customHeight="1" x14ac:dyDescent="0.25">
      <c r="A211" s="5" t="s">
        <v>51</v>
      </c>
      <c r="B211" s="1" t="s">
        <v>15</v>
      </c>
      <c r="C211" s="1">
        <v>226</v>
      </c>
      <c r="D211" s="136" t="s">
        <v>313</v>
      </c>
      <c r="E211" s="137">
        <v>1431979</v>
      </c>
      <c r="F211" s="98"/>
      <c r="G211" s="4"/>
      <c r="H211" s="7">
        <f t="shared" si="93"/>
        <v>1431979</v>
      </c>
      <c r="I211" s="2"/>
      <c r="J211" s="2"/>
      <c r="K211" s="41">
        <f t="shared" si="94"/>
        <v>0</v>
      </c>
      <c r="L211" s="2"/>
      <c r="M211" s="2"/>
      <c r="N211" s="2"/>
      <c r="O211" s="2"/>
      <c r="P211" s="41">
        <f t="shared" si="95"/>
        <v>1431979</v>
      </c>
      <c r="Q211" s="2"/>
      <c r="R211" s="2"/>
      <c r="S211" s="2"/>
      <c r="T211" s="2">
        <f t="shared" si="96"/>
        <v>1431979</v>
      </c>
      <c r="U211" s="77">
        <f t="shared" si="97"/>
        <v>0</v>
      </c>
      <c r="V211" s="2"/>
      <c r="W211" s="2"/>
      <c r="X211" s="2"/>
      <c r="Y211" s="2"/>
      <c r="Z211" s="7">
        <f t="shared" si="98"/>
        <v>1431979</v>
      </c>
      <c r="AA211" s="7">
        <f>T211-Y211</f>
        <v>1431979</v>
      </c>
      <c r="AB211" s="50"/>
      <c r="AC211" s="49"/>
    </row>
    <row r="212" spans="1:29" ht="57.75" customHeight="1" x14ac:dyDescent="0.25">
      <c r="A212" s="60" t="s">
        <v>35</v>
      </c>
      <c r="B212" s="61" t="s">
        <v>270</v>
      </c>
      <c r="C212" s="61">
        <v>226</v>
      </c>
      <c r="D212" s="136" t="s">
        <v>314</v>
      </c>
      <c r="E212" s="137">
        <v>2991573.81</v>
      </c>
      <c r="F212" s="98"/>
      <c r="G212" s="4"/>
      <c r="H212" s="7">
        <f>E212-F212-G212</f>
        <v>2991573.81</v>
      </c>
      <c r="I212" s="7"/>
      <c r="J212" s="7"/>
      <c r="K212" s="63">
        <f t="shared" si="94"/>
        <v>0</v>
      </c>
      <c r="L212" s="7"/>
      <c r="M212" s="7"/>
      <c r="N212" s="7"/>
      <c r="O212" s="7"/>
      <c r="P212" s="63">
        <f t="shared" si="95"/>
        <v>2991573.81</v>
      </c>
      <c r="Q212" s="7"/>
      <c r="R212" s="7"/>
      <c r="S212" s="7"/>
      <c r="T212" s="2">
        <f t="shared" si="96"/>
        <v>2991573.81</v>
      </c>
      <c r="U212" s="64">
        <f t="shared" si="97"/>
        <v>0</v>
      </c>
      <c r="V212" s="7"/>
      <c r="W212" s="7"/>
      <c r="X212" s="7"/>
      <c r="Y212" s="7">
        <v>0</v>
      </c>
      <c r="Z212" s="7">
        <f t="shared" si="98"/>
        <v>2991573.81</v>
      </c>
      <c r="AA212" s="7">
        <f>O212</f>
        <v>0</v>
      </c>
      <c r="AB212" s="50"/>
      <c r="AC212" s="49"/>
    </row>
    <row r="213" spans="1:29" ht="79.5" customHeight="1" x14ac:dyDescent="0.25">
      <c r="A213" s="60" t="s">
        <v>118</v>
      </c>
      <c r="B213" s="61" t="s">
        <v>208</v>
      </c>
      <c r="C213" s="61">
        <v>226</v>
      </c>
      <c r="D213" s="136" t="s">
        <v>314</v>
      </c>
      <c r="E213" s="137">
        <v>70000</v>
      </c>
      <c r="F213" s="98"/>
      <c r="G213" s="4"/>
      <c r="H213" s="7">
        <f>E213-F213-G213</f>
        <v>70000</v>
      </c>
      <c r="I213" s="7"/>
      <c r="J213" s="7"/>
      <c r="K213" s="63">
        <f t="shared" si="94"/>
        <v>0</v>
      </c>
      <c r="L213" s="7"/>
      <c r="M213" s="7"/>
      <c r="N213" s="7"/>
      <c r="O213" s="7"/>
      <c r="P213" s="63">
        <f t="shared" si="95"/>
        <v>70000</v>
      </c>
      <c r="Q213" s="7"/>
      <c r="R213" s="7"/>
      <c r="S213" s="7"/>
      <c r="T213" s="2">
        <f t="shared" si="96"/>
        <v>70000</v>
      </c>
      <c r="U213" s="64">
        <f t="shared" si="97"/>
        <v>0</v>
      </c>
      <c r="V213" s="7"/>
      <c r="W213" s="7"/>
      <c r="X213" s="7"/>
      <c r="Y213" s="7">
        <v>0</v>
      </c>
      <c r="Z213" s="7">
        <f t="shared" si="98"/>
        <v>70000</v>
      </c>
      <c r="AA213" s="7">
        <f>O213</f>
        <v>0</v>
      </c>
      <c r="AB213" s="50"/>
      <c r="AC213" s="49"/>
    </row>
    <row r="214" spans="1:29" ht="34.5" customHeight="1" x14ac:dyDescent="0.25">
      <c r="A214" s="60" t="s">
        <v>119</v>
      </c>
      <c r="B214" s="68" t="s">
        <v>22</v>
      </c>
      <c r="C214" s="68">
        <v>226</v>
      </c>
      <c r="D214" s="140" t="s">
        <v>288</v>
      </c>
      <c r="E214" s="137">
        <v>9356.75</v>
      </c>
      <c r="F214" s="98">
        <v>0</v>
      </c>
      <c r="G214" s="4">
        <v>0</v>
      </c>
      <c r="H214" s="7">
        <f>E214-F214-G214</f>
        <v>9356.75</v>
      </c>
      <c r="I214" s="7"/>
      <c r="J214" s="7"/>
      <c r="K214" s="63">
        <v>0</v>
      </c>
      <c r="L214" s="7"/>
      <c r="M214" s="7"/>
      <c r="N214" s="7"/>
      <c r="O214" s="7">
        <v>0</v>
      </c>
      <c r="P214" s="63">
        <f>SUM(Q214:T214)</f>
        <v>9356.75</v>
      </c>
      <c r="Q214" s="7"/>
      <c r="R214" s="7"/>
      <c r="S214" s="7"/>
      <c r="T214" s="2">
        <f t="shared" si="96"/>
        <v>9356.75</v>
      </c>
      <c r="U214" s="64">
        <f t="shared" si="97"/>
        <v>0</v>
      </c>
      <c r="V214" s="7"/>
      <c r="W214" s="7"/>
      <c r="X214" s="7"/>
      <c r="Y214" s="7">
        <v>0</v>
      </c>
      <c r="Z214" s="7">
        <f t="shared" si="98"/>
        <v>9356.75</v>
      </c>
      <c r="AA214" s="7">
        <f>Z214</f>
        <v>9356.75</v>
      </c>
      <c r="AB214" s="50"/>
      <c r="AC214" s="49"/>
    </row>
    <row r="215" spans="1:29" ht="28.9" customHeight="1" x14ac:dyDescent="0.25">
      <c r="A215" s="122" t="s">
        <v>36</v>
      </c>
      <c r="B215" s="127" t="s">
        <v>282</v>
      </c>
      <c r="C215" s="122"/>
      <c r="D215" s="122"/>
      <c r="E215" s="141">
        <f>SUM(E216:E227)</f>
        <v>103262750.10000001</v>
      </c>
      <c r="F215" s="141">
        <f t="shared" ref="F215:Y215" si="99">SUM(F216:F227)</f>
        <v>0</v>
      </c>
      <c r="G215" s="141">
        <f t="shared" si="99"/>
        <v>99297</v>
      </c>
      <c r="H215" s="141">
        <f t="shared" si="99"/>
        <v>103163453.10000001</v>
      </c>
      <c r="I215" s="141">
        <f t="shared" si="99"/>
        <v>1691.2</v>
      </c>
      <c r="J215" s="141"/>
      <c r="K215" s="141">
        <f t="shared" si="99"/>
        <v>165401.26999999999</v>
      </c>
      <c r="L215" s="141">
        <f t="shared" si="99"/>
        <v>0</v>
      </c>
      <c r="M215" s="141">
        <f t="shared" si="99"/>
        <v>0</v>
      </c>
      <c r="N215" s="141">
        <f t="shared" si="99"/>
        <v>0</v>
      </c>
      <c r="O215" s="141">
        <f t="shared" si="99"/>
        <v>165401.26999999999</v>
      </c>
      <c r="P215" s="141">
        <f t="shared" si="99"/>
        <v>103163453.10000001</v>
      </c>
      <c r="Q215" s="141">
        <f t="shared" si="99"/>
        <v>34305169.43</v>
      </c>
      <c r="R215" s="141">
        <f t="shared" si="99"/>
        <v>14704293.060000001</v>
      </c>
      <c r="S215" s="141">
        <f t="shared" si="99"/>
        <v>7513842.8099999996</v>
      </c>
      <c r="T215" s="141">
        <f>SUM(T216:T227)</f>
        <v>46640147.800000004</v>
      </c>
      <c r="U215" s="141">
        <f t="shared" si="99"/>
        <v>0</v>
      </c>
      <c r="V215" s="141">
        <f t="shared" si="99"/>
        <v>0</v>
      </c>
      <c r="W215" s="141">
        <f t="shared" si="99"/>
        <v>0</v>
      </c>
      <c r="X215" s="141">
        <f t="shared" si="99"/>
        <v>0</v>
      </c>
      <c r="Y215" s="141">
        <f t="shared" si="99"/>
        <v>0</v>
      </c>
      <c r="Z215" s="122"/>
      <c r="AA215" s="122"/>
      <c r="AB215" s="50"/>
      <c r="AC215" s="49"/>
    </row>
    <row r="216" spans="1:29" ht="28.9" customHeight="1" x14ac:dyDescent="0.25">
      <c r="A216" s="168" t="s">
        <v>43</v>
      </c>
      <c r="B216" s="1" t="s">
        <v>32</v>
      </c>
      <c r="C216" s="3">
        <v>310</v>
      </c>
      <c r="D216" s="142" t="s">
        <v>310</v>
      </c>
      <c r="E216" s="2">
        <v>93015980.040000007</v>
      </c>
      <c r="F216" s="98"/>
      <c r="G216" s="4"/>
      <c r="H216" s="7">
        <f t="shared" ref="H216:H224" si="100">E216-F216-G216</f>
        <v>93015980.040000007</v>
      </c>
      <c r="I216" s="36">
        <v>1691.2</v>
      </c>
      <c r="J216" s="36"/>
      <c r="K216" s="41">
        <f>SUM(L216:O216)</f>
        <v>0</v>
      </c>
      <c r="L216" s="36"/>
      <c r="M216" s="36"/>
      <c r="N216" s="36"/>
      <c r="O216" s="36"/>
      <c r="P216" s="41">
        <f>SUM(Q216:T216)</f>
        <v>93015980.040000007</v>
      </c>
      <c r="Q216" s="176">
        <v>34305169.43</v>
      </c>
      <c r="R216" s="176">
        <v>14704293.060000001</v>
      </c>
      <c r="S216" s="176">
        <v>7513842.8099999996</v>
      </c>
      <c r="T216" s="176">
        <v>36492674.740000002</v>
      </c>
      <c r="U216" s="46">
        <f>SUM(V216:Y216)</f>
        <v>0</v>
      </c>
      <c r="V216" s="36"/>
      <c r="W216" s="36"/>
      <c r="X216" s="36"/>
      <c r="Y216" s="36"/>
      <c r="Z216" s="36">
        <f>S216-N216</f>
        <v>7513842.8099999996</v>
      </c>
      <c r="AA216" s="36">
        <f>Z216+N216-X216+O216</f>
        <v>7513842.8099999996</v>
      </c>
      <c r="AB216" s="50"/>
      <c r="AC216" s="49"/>
    </row>
    <row r="217" spans="1:29" ht="28.9" customHeight="1" x14ac:dyDescent="0.25">
      <c r="A217" s="168" t="s">
        <v>44</v>
      </c>
      <c r="B217" s="3" t="s">
        <v>10</v>
      </c>
      <c r="C217" s="3">
        <v>226</v>
      </c>
      <c r="D217" s="26" t="s">
        <v>289</v>
      </c>
      <c r="E217" s="2">
        <v>99297</v>
      </c>
      <c r="F217" s="98">
        <v>0</v>
      </c>
      <c r="G217" s="4">
        <f>E217</f>
        <v>99297</v>
      </c>
      <c r="H217" s="7">
        <f t="shared" si="100"/>
        <v>0</v>
      </c>
      <c r="I217" s="2"/>
      <c r="J217" s="2"/>
      <c r="K217" s="41">
        <f t="shared" ref="K217:K227" si="101">SUM(L217:O217)</f>
        <v>0</v>
      </c>
      <c r="L217" s="2"/>
      <c r="M217" s="2"/>
      <c r="N217" s="2"/>
      <c r="O217" s="2"/>
      <c r="P217" s="41">
        <f t="shared" ref="P217:P227" si="102">SUM(Q217:T217)</f>
        <v>0</v>
      </c>
      <c r="Q217" s="2"/>
      <c r="R217" s="179"/>
      <c r="S217" s="179"/>
      <c r="T217" s="2">
        <f t="shared" ref="T217:T244" si="103">E217-F217-G217</f>
        <v>0</v>
      </c>
      <c r="U217" s="46">
        <f t="shared" ref="U217:U227" si="104">SUM(V217:Y217)</f>
        <v>0</v>
      </c>
      <c r="V217" s="2"/>
      <c r="W217" s="2"/>
      <c r="X217" s="2"/>
      <c r="Y217" s="2"/>
      <c r="Z217" s="2"/>
      <c r="AA217" s="2"/>
      <c r="AB217" s="50"/>
      <c r="AC217" s="49"/>
    </row>
    <row r="218" spans="1:29" ht="28.9" customHeight="1" x14ac:dyDescent="0.25">
      <c r="A218" s="168" t="s">
        <v>45</v>
      </c>
      <c r="B218" s="3" t="s">
        <v>1</v>
      </c>
      <c r="C218" s="3">
        <v>226</v>
      </c>
      <c r="D218" s="27" t="s">
        <v>284</v>
      </c>
      <c r="E218" s="137">
        <v>165401.26999999999</v>
      </c>
      <c r="F218" s="98">
        <v>0</v>
      </c>
      <c r="G218" s="4">
        <v>0</v>
      </c>
      <c r="H218" s="7">
        <f t="shared" si="100"/>
        <v>165401.26999999999</v>
      </c>
      <c r="I218" s="2"/>
      <c r="J218" s="2"/>
      <c r="K218" s="41">
        <f t="shared" si="101"/>
        <v>165401.26999999999</v>
      </c>
      <c r="L218" s="2"/>
      <c r="M218" s="2"/>
      <c r="N218" s="2"/>
      <c r="O218" s="2">
        <v>165401.26999999999</v>
      </c>
      <c r="P218" s="41">
        <f t="shared" si="102"/>
        <v>165401.26999999999</v>
      </c>
      <c r="Q218" s="2"/>
      <c r="R218" s="2"/>
      <c r="S218" s="2"/>
      <c r="T218" s="2">
        <f t="shared" si="103"/>
        <v>165401.26999999999</v>
      </c>
      <c r="U218" s="46">
        <f t="shared" si="104"/>
        <v>0</v>
      </c>
      <c r="V218" s="2"/>
      <c r="W218" s="2"/>
      <c r="X218" s="2"/>
      <c r="Y218" s="2"/>
      <c r="Z218" s="2"/>
      <c r="AA218" s="2"/>
      <c r="AB218" s="50"/>
      <c r="AC218" s="49"/>
    </row>
    <row r="219" spans="1:29" ht="38.25" customHeight="1" x14ac:dyDescent="0.25">
      <c r="A219" s="168" t="s">
        <v>290</v>
      </c>
      <c r="B219" s="3" t="s">
        <v>1</v>
      </c>
      <c r="C219" s="3">
        <v>226</v>
      </c>
      <c r="D219" s="160" t="s">
        <v>316</v>
      </c>
      <c r="E219" s="137">
        <v>80000</v>
      </c>
      <c r="F219" s="98"/>
      <c r="G219" s="4"/>
      <c r="H219" s="7">
        <f t="shared" si="100"/>
        <v>80000</v>
      </c>
      <c r="I219" s="2"/>
      <c r="J219" s="2"/>
      <c r="K219" s="41">
        <f t="shared" si="101"/>
        <v>0</v>
      </c>
      <c r="L219" s="2"/>
      <c r="M219" s="2"/>
      <c r="N219" s="2"/>
      <c r="O219" s="2"/>
      <c r="P219" s="41">
        <f t="shared" si="102"/>
        <v>80000</v>
      </c>
      <c r="Q219" s="2"/>
      <c r="R219" s="2"/>
      <c r="S219" s="2"/>
      <c r="T219" s="2">
        <f t="shared" si="103"/>
        <v>80000</v>
      </c>
      <c r="U219" s="46"/>
      <c r="V219" s="2"/>
      <c r="W219" s="2"/>
      <c r="X219" s="2"/>
      <c r="Y219" s="2"/>
      <c r="Z219" s="2"/>
      <c r="AA219" s="2"/>
      <c r="AB219" s="50"/>
      <c r="AC219" s="49"/>
    </row>
    <row r="220" spans="1:29" ht="36.75" customHeight="1" x14ac:dyDescent="0.25">
      <c r="A220" s="5" t="s">
        <v>47</v>
      </c>
      <c r="B220" s="1" t="s">
        <v>11</v>
      </c>
      <c r="C220" s="1">
        <v>226</v>
      </c>
      <c r="D220" s="136" t="s">
        <v>311</v>
      </c>
      <c r="E220" s="2">
        <v>3000000</v>
      </c>
      <c r="F220" s="98"/>
      <c r="G220" s="4"/>
      <c r="H220" s="7">
        <f t="shared" si="100"/>
        <v>3000000</v>
      </c>
      <c r="I220" s="2"/>
      <c r="J220" s="2"/>
      <c r="K220" s="41">
        <f t="shared" si="101"/>
        <v>0</v>
      </c>
      <c r="L220" s="2"/>
      <c r="M220" s="2"/>
      <c r="N220" s="2"/>
      <c r="O220" s="2"/>
      <c r="P220" s="41">
        <f t="shared" si="102"/>
        <v>3000000</v>
      </c>
      <c r="Q220" s="2"/>
      <c r="R220" s="2"/>
      <c r="S220" s="2"/>
      <c r="T220" s="2">
        <f t="shared" si="103"/>
        <v>3000000</v>
      </c>
      <c r="U220" s="77">
        <f t="shared" si="104"/>
        <v>0</v>
      </c>
      <c r="V220" s="2"/>
      <c r="W220" s="2"/>
      <c r="X220" s="2"/>
      <c r="Y220" s="2"/>
      <c r="Z220" s="2"/>
      <c r="AA220" s="2"/>
      <c r="AB220" s="50"/>
      <c r="AC220" s="49"/>
    </row>
    <row r="221" spans="1:29" ht="40.5" customHeight="1" x14ac:dyDescent="0.25">
      <c r="A221" s="60" t="s">
        <v>48</v>
      </c>
      <c r="B221" s="61" t="s">
        <v>20</v>
      </c>
      <c r="C221" s="61">
        <v>226</v>
      </c>
      <c r="D221" s="136" t="s">
        <v>311</v>
      </c>
      <c r="E221" s="137">
        <v>140000</v>
      </c>
      <c r="F221" s="98"/>
      <c r="G221" s="4"/>
      <c r="H221" s="7">
        <f t="shared" si="100"/>
        <v>140000</v>
      </c>
      <c r="I221" s="7"/>
      <c r="J221" s="7"/>
      <c r="K221" s="63">
        <f t="shared" si="101"/>
        <v>0</v>
      </c>
      <c r="L221" s="7"/>
      <c r="M221" s="7"/>
      <c r="N221" s="7"/>
      <c r="O221" s="7"/>
      <c r="P221" s="63">
        <f t="shared" si="102"/>
        <v>140000</v>
      </c>
      <c r="Q221" s="7"/>
      <c r="R221" s="7"/>
      <c r="S221" s="7"/>
      <c r="T221" s="2">
        <f t="shared" si="103"/>
        <v>140000</v>
      </c>
      <c r="U221" s="64">
        <f t="shared" si="104"/>
        <v>0</v>
      </c>
      <c r="V221" s="7"/>
      <c r="W221" s="7"/>
      <c r="X221" s="7"/>
      <c r="Y221" s="7"/>
      <c r="Z221" s="7">
        <f t="shared" ref="Z221:Z227" si="105">T221-O221</f>
        <v>140000</v>
      </c>
      <c r="AA221" s="7">
        <f>O221-Y221</f>
        <v>0</v>
      </c>
      <c r="AB221" s="50"/>
      <c r="AC221" s="49"/>
    </row>
    <row r="222" spans="1:29" ht="40.5" customHeight="1" x14ac:dyDescent="0.25">
      <c r="A222" s="168" t="s">
        <v>49</v>
      </c>
      <c r="B222" s="3" t="s">
        <v>12</v>
      </c>
      <c r="C222" s="3">
        <v>226</v>
      </c>
      <c r="D222" s="136" t="s">
        <v>312</v>
      </c>
      <c r="E222" s="2">
        <v>643991.23</v>
      </c>
      <c r="F222" s="98"/>
      <c r="G222" s="4"/>
      <c r="H222" s="7">
        <f t="shared" si="100"/>
        <v>643991.23</v>
      </c>
      <c r="I222" s="2"/>
      <c r="J222" s="2"/>
      <c r="K222" s="41">
        <f t="shared" si="101"/>
        <v>0</v>
      </c>
      <c r="L222" s="2"/>
      <c r="M222" s="2"/>
      <c r="N222" s="2"/>
      <c r="O222" s="2"/>
      <c r="P222" s="41">
        <f t="shared" si="102"/>
        <v>643991.23</v>
      </c>
      <c r="Q222" s="2"/>
      <c r="R222" s="2"/>
      <c r="S222" s="2"/>
      <c r="T222" s="2">
        <f t="shared" si="103"/>
        <v>643991.23</v>
      </c>
      <c r="U222" s="46">
        <f t="shared" si="104"/>
        <v>0</v>
      </c>
      <c r="V222" s="2"/>
      <c r="W222" s="2"/>
      <c r="X222" s="2"/>
      <c r="Y222" s="2"/>
      <c r="Z222" s="7">
        <f t="shared" si="105"/>
        <v>643991.23</v>
      </c>
      <c r="AA222" s="7">
        <f>T222-Y222</f>
        <v>643991.23</v>
      </c>
      <c r="AB222" s="50"/>
      <c r="AC222" s="49"/>
    </row>
    <row r="223" spans="1:29" ht="44.25" customHeight="1" x14ac:dyDescent="0.25">
      <c r="A223" s="168" t="s">
        <v>50</v>
      </c>
      <c r="B223" s="3" t="s">
        <v>13</v>
      </c>
      <c r="C223" s="3">
        <v>226</v>
      </c>
      <c r="D223" s="136" t="s">
        <v>313</v>
      </c>
      <c r="E223" s="2">
        <v>1615171</v>
      </c>
      <c r="F223" s="98"/>
      <c r="G223" s="4"/>
      <c r="H223" s="7">
        <f t="shared" si="100"/>
        <v>1615171</v>
      </c>
      <c r="I223" s="2"/>
      <c r="J223" s="2"/>
      <c r="K223" s="41">
        <f t="shared" si="101"/>
        <v>0</v>
      </c>
      <c r="L223" s="2"/>
      <c r="M223" s="2"/>
      <c r="N223" s="2"/>
      <c r="O223" s="2"/>
      <c r="P223" s="41">
        <f t="shared" si="102"/>
        <v>1615171</v>
      </c>
      <c r="Q223" s="2"/>
      <c r="R223" s="2"/>
      <c r="S223" s="2"/>
      <c r="T223" s="2">
        <f t="shared" si="103"/>
        <v>1615171</v>
      </c>
      <c r="U223" s="46">
        <f t="shared" si="104"/>
        <v>0</v>
      </c>
      <c r="V223" s="2"/>
      <c r="W223" s="2"/>
      <c r="X223" s="2"/>
      <c r="Y223" s="2"/>
      <c r="Z223" s="7">
        <f t="shared" si="105"/>
        <v>1615171</v>
      </c>
      <c r="AA223" s="7">
        <f>T223-Y223</f>
        <v>1615171</v>
      </c>
      <c r="AB223" s="50"/>
      <c r="AC223" s="49"/>
    </row>
    <row r="224" spans="1:29" ht="39" customHeight="1" x14ac:dyDescent="0.25">
      <c r="A224" s="5" t="s">
        <v>51</v>
      </c>
      <c r="B224" s="1" t="s">
        <v>15</v>
      </c>
      <c r="C224" s="1">
        <v>226</v>
      </c>
      <c r="D224" s="136" t="s">
        <v>313</v>
      </c>
      <c r="E224" s="2">
        <v>1431979</v>
      </c>
      <c r="F224" s="98"/>
      <c r="G224" s="4"/>
      <c r="H224" s="7">
        <f t="shared" si="100"/>
        <v>1431979</v>
      </c>
      <c r="I224" s="2"/>
      <c r="J224" s="2"/>
      <c r="K224" s="41">
        <f t="shared" si="101"/>
        <v>0</v>
      </c>
      <c r="L224" s="2"/>
      <c r="M224" s="2"/>
      <c r="N224" s="2"/>
      <c r="O224" s="2"/>
      <c r="P224" s="41">
        <f t="shared" si="102"/>
        <v>1431979</v>
      </c>
      <c r="Q224" s="2"/>
      <c r="R224" s="2"/>
      <c r="S224" s="2"/>
      <c r="T224" s="2">
        <f t="shared" si="103"/>
        <v>1431979</v>
      </c>
      <c r="U224" s="77">
        <f t="shared" si="104"/>
        <v>0</v>
      </c>
      <c r="V224" s="2"/>
      <c r="W224" s="2"/>
      <c r="X224" s="2"/>
      <c r="Y224" s="2"/>
      <c r="Z224" s="7">
        <f t="shared" si="105"/>
        <v>1431979</v>
      </c>
      <c r="AA224" s="7">
        <f>T224-Y224</f>
        <v>1431979</v>
      </c>
      <c r="AB224" s="50"/>
      <c r="AC224" s="49"/>
    </row>
    <row r="225" spans="1:29" ht="42" customHeight="1" x14ac:dyDescent="0.25">
      <c r="A225" s="60" t="s">
        <v>35</v>
      </c>
      <c r="B225" s="61" t="s">
        <v>270</v>
      </c>
      <c r="C225" s="61">
        <v>226</v>
      </c>
      <c r="D225" s="136" t="s">
        <v>314</v>
      </c>
      <c r="E225" s="137">
        <v>2991573.81</v>
      </c>
      <c r="F225" s="98"/>
      <c r="G225" s="4"/>
      <c r="H225" s="7">
        <f>E225-F225-G225</f>
        <v>2991573.81</v>
      </c>
      <c r="I225" s="7"/>
      <c r="J225" s="7"/>
      <c r="K225" s="63">
        <f t="shared" si="101"/>
        <v>0</v>
      </c>
      <c r="L225" s="7"/>
      <c r="M225" s="7"/>
      <c r="N225" s="7"/>
      <c r="O225" s="7"/>
      <c r="P225" s="63">
        <f t="shared" si="102"/>
        <v>2991573.81</v>
      </c>
      <c r="Q225" s="7"/>
      <c r="R225" s="7"/>
      <c r="S225" s="7"/>
      <c r="T225" s="2">
        <f t="shared" si="103"/>
        <v>2991573.81</v>
      </c>
      <c r="U225" s="64">
        <f t="shared" si="104"/>
        <v>0</v>
      </c>
      <c r="V225" s="7"/>
      <c r="W225" s="7"/>
      <c r="X225" s="7"/>
      <c r="Y225" s="7">
        <v>0</v>
      </c>
      <c r="Z225" s="7">
        <f t="shared" si="105"/>
        <v>2991573.81</v>
      </c>
      <c r="AA225" s="7">
        <f>O225</f>
        <v>0</v>
      </c>
      <c r="AB225" s="50"/>
      <c r="AC225" s="49"/>
    </row>
    <row r="226" spans="1:29" ht="60.75" customHeight="1" x14ac:dyDescent="0.25">
      <c r="A226" s="60" t="s">
        <v>118</v>
      </c>
      <c r="B226" s="61" t="s">
        <v>208</v>
      </c>
      <c r="C226" s="61">
        <v>226</v>
      </c>
      <c r="D226" s="136" t="s">
        <v>314</v>
      </c>
      <c r="E226" s="137">
        <v>70000</v>
      </c>
      <c r="F226" s="98"/>
      <c r="G226" s="4"/>
      <c r="H226" s="7">
        <f>E226-F226-G226</f>
        <v>70000</v>
      </c>
      <c r="I226" s="7"/>
      <c r="J226" s="7"/>
      <c r="K226" s="63">
        <f t="shared" si="101"/>
        <v>0</v>
      </c>
      <c r="L226" s="7"/>
      <c r="M226" s="7"/>
      <c r="N226" s="7"/>
      <c r="O226" s="7"/>
      <c r="P226" s="63">
        <f t="shared" si="102"/>
        <v>70000</v>
      </c>
      <c r="Q226" s="7"/>
      <c r="R226" s="7"/>
      <c r="S226" s="7"/>
      <c r="T226" s="2">
        <f t="shared" si="103"/>
        <v>70000</v>
      </c>
      <c r="U226" s="64">
        <f t="shared" si="104"/>
        <v>0</v>
      </c>
      <c r="V226" s="7"/>
      <c r="W226" s="7"/>
      <c r="X226" s="7"/>
      <c r="Y226" s="7">
        <v>0</v>
      </c>
      <c r="Z226" s="7">
        <f t="shared" si="105"/>
        <v>70000</v>
      </c>
      <c r="AA226" s="7">
        <f>O226</f>
        <v>0</v>
      </c>
      <c r="AB226" s="50"/>
      <c r="AC226" s="49"/>
    </row>
    <row r="227" spans="1:29" ht="28.9" customHeight="1" x14ac:dyDescent="0.25">
      <c r="A227" s="60" t="s">
        <v>119</v>
      </c>
      <c r="B227" s="68" t="s">
        <v>22</v>
      </c>
      <c r="C227" s="68">
        <v>226</v>
      </c>
      <c r="D227" s="140" t="s">
        <v>291</v>
      </c>
      <c r="E227" s="137">
        <v>9356.75</v>
      </c>
      <c r="F227" s="98">
        <v>0</v>
      </c>
      <c r="G227" s="4">
        <v>0</v>
      </c>
      <c r="H227" s="7">
        <f>E227-F227-G227</f>
        <v>9356.75</v>
      </c>
      <c r="I227" s="7"/>
      <c r="J227" s="7"/>
      <c r="K227" s="63">
        <f t="shared" si="101"/>
        <v>0</v>
      </c>
      <c r="L227" s="7"/>
      <c r="M227" s="7"/>
      <c r="N227" s="7"/>
      <c r="O227" s="137"/>
      <c r="P227" s="63">
        <f t="shared" si="102"/>
        <v>9356.75</v>
      </c>
      <c r="Q227" s="7"/>
      <c r="R227" s="7"/>
      <c r="S227" s="7"/>
      <c r="T227" s="2">
        <f t="shared" si="103"/>
        <v>9356.75</v>
      </c>
      <c r="U227" s="64">
        <f t="shared" si="104"/>
        <v>0</v>
      </c>
      <c r="V227" s="7"/>
      <c r="W227" s="7"/>
      <c r="X227" s="7"/>
      <c r="Y227" s="7">
        <v>0</v>
      </c>
      <c r="Z227" s="7">
        <f t="shared" si="105"/>
        <v>9356.75</v>
      </c>
      <c r="AA227" s="7">
        <f>Z227</f>
        <v>9356.75</v>
      </c>
      <c r="AB227" s="50"/>
      <c r="AC227" s="49"/>
    </row>
    <row r="228" spans="1:29" ht="39" customHeight="1" x14ac:dyDescent="0.25">
      <c r="A228" s="195"/>
      <c r="B228" s="196" t="s">
        <v>332</v>
      </c>
      <c r="C228" s="196"/>
      <c r="D228" s="197" t="s">
        <v>328</v>
      </c>
      <c r="E228" s="191">
        <f>E189+E201+E215</f>
        <v>389208126.49000001</v>
      </c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50"/>
      <c r="AC228" s="49"/>
    </row>
    <row r="229" spans="1:29" ht="20.100000000000001" customHeight="1" x14ac:dyDescent="0.25">
      <c r="A229" s="189"/>
      <c r="B229" s="192" t="s">
        <v>194</v>
      </c>
      <c r="C229" s="193">
        <v>310</v>
      </c>
      <c r="D229" s="194" t="s">
        <v>328</v>
      </c>
      <c r="E229" s="190">
        <f>E203</f>
        <v>13835381.059999999</v>
      </c>
      <c r="F229" s="190">
        <f t="shared" ref="F229:AA229" si="106">F203</f>
        <v>0</v>
      </c>
      <c r="G229" s="190">
        <f t="shared" si="106"/>
        <v>0</v>
      </c>
      <c r="H229" s="190">
        <f t="shared" si="106"/>
        <v>13835381.059999999</v>
      </c>
      <c r="I229" s="190">
        <f t="shared" si="106"/>
        <v>241.21700000000004</v>
      </c>
      <c r="J229" s="190">
        <f t="shared" si="106"/>
        <v>0</v>
      </c>
      <c r="K229" s="190">
        <f t="shared" si="106"/>
        <v>7493512.9499999993</v>
      </c>
      <c r="L229" s="190">
        <f t="shared" si="106"/>
        <v>5167447.3099999996</v>
      </c>
      <c r="M229" s="190">
        <f t="shared" si="106"/>
        <v>2263945.5699999998</v>
      </c>
      <c r="N229" s="190">
        <f t="shared" si="106"/>
        <v>62120.07</v>
      </c>
      <c r="O229" s="190">
        <f t="shared" si="106"/>
        <v>0</v>
      </c>
      <c r="P229" s="190">
        <f t="shared" si="106"/>
        <v>13835381.059999999</v>
      </c>
      <c r="Q229" s="190">
        <f t="shared" si="106"/>
        <v>5167447.3099999996</v>
      </c>
      <c r="R229" s="190">
        <f t="shared" si="106"/>
        <v>2263945.5699999998</v>
      </c>
      <c r="S229" s="190">
        <f t="shared" si="106"/>
        <v>630566.13</v>
      </c>
      <c r="T229" s="190">
        <f t="shared" si="106"/>
        <v>5773422.0499999998</v>
      </c>
      <c r="U229" s="190">
        <f t="shared" si="106"/>
        <v>0</v>
      </c>
      <c r="V229" s="190">
        <f t="shared" si="106"/>
        <v>0</v>
      </c>
      <c r="W229" s="190">
        <f t="shared" si="106"/>
        <v>0</v>
      </c>
      <c r="X229" s="190">
        <f t="shared" si="106"/>
        <v>0</v>
      </c>
      <c r="Y229" s="190">
        <f t="shared" si="106"/>
        <v>0</v>
      </c>
      <c r="Z229" s="190">
        <f t="shared" si="106"/>
        <v>568446.06000000006</v>
      </c>
      <c r="AA229" s="190">
        <f t="shared" si="106"/>
        <v>0</v>
      </c>
      <c r="AB229" s="50"/>
      <c r="AC229" s="49"/>
    </row>
    <row r="230" spans="1:29" ht="20.100000000000001" customHeight="1" x14ac:dyDescent="0.25">
      <c r="A230" s="189"/>
      <c r="B230" s="192" t="s">
        <v>286</v>
      </c>
      <c r="C230" s="193">
        <v>310</v>
      </c>
      <c r="D230" s="194" t="s">
        <v>328</v>
      </c>
      <c r="E230" s="190">
        <f>E190+E204+E216</f>
        <v>343885789.5</v>
      </c>
      <c r="F230" s="190">
        <f t="shared" ref="F230:AA230" si="107">F190+F204+F216</f>
        <v>0</v>
      </c>
      <c r="G230" s="190">
        <f t="shared" si="107"/>
        <v>0</v>
      </c>
      <c r="H230" s="190">
        <f t="shared" si="107"/>
        <v>343885789.5</v>
      </c>
      <c r="I230" s="190">
        <f t="shared" si="107"/>
        <v>6252.47</v>
      </c>
      <c r="J230" s="190">
        <f t="shared" si="107"/>
        <v>54999.962875260877</v>
      </c>
      <c r="K230" s="190">
        <f t="shared" si="107"/>
        <v>0</v>
      </c>
      <c r="L230" s="190">
        <f t="shared" si="107"/>
        <v>0</v>
      </c>
      <c r="M230" s="190">
        <f t="shared" si="107"/>
        <v>0</v>
      </c>
      <c r="N230" s="190">
        <f t="shared" si="107"/>
        <v>0</v>
      </c>
      <c r="O230" s="190">
        <f t="shared" si="107"/>
        <v>0</v>
      </c>
      <c r="P230" s="190">
        <f t="shared" si="107"/>
        <v>343885789.5</v>
      </c>
      <c r="Q230" s="190">
        <f t="shared" si="107"/>
        <v>126828317.75</v>
      </c>
      <c r="R230" s="190">
        <f t="shared" si="107"/>
        <v>54362674.32</v>
      </c>
      <c r="S230" s="190">
        <f t="shared" si="107"/>
        <v>27779138.23</v>
      </c>
      <c r="T230" s="190">
        <f t="shared" si="107"/>
        <v>134915659.20000002</v>
      </c>
      <c r="U230" s="190">
        <f t="shared" si="107"/>
        <v>0</v>
      </c>
      <c r="V230" s="190">
        <f t="shared" si="107"/>
        <v>0</v>
      </c>
      <c r="W230" s="190">
        <f t="shared" si="107"/>
        <v>0</v>
      </c>
      <c r="X230" s="190">
        <f t="shared" si="107"/>
        <v>0</v>
      </c>
      <c r="Y230" s="190">
        <f t="shared" si="107"/>
        <v>0</v>
      </c>
      <c r="Z230" s="190">
        <f t="shared" si="107"/>
        <v>27779138.23</v>
      </c>
      <c r="AA230" s="190">
        <f t="shared" si="107"/>
        <v>27779138.23</v>
      </c>
      <c r="AB230" s="50"/>
      <c r="AC230" s="49"/>
    </row>
    <row r="231" spans="1:29" ht="20.100000000000001" customHeight="1" x14ac:dyDescent="0.25">
      <c r="A231" s="189"/>
      <c r="B231" s="192" t="s">
        <v>286</v>
      </c>
      <c r="C231" s="193">
        <v>226</v>
      </c>
      <c r="D231" s="194" t="s">
        <v>328</v>
      </c>
      <c r="E231" s="190">
        <f>E191+E192+E193+E194+E195+E196+E197+E198+E199+E200+E205+E206+E207+E208+E209+E210+E211+E212+E213+E214+E217+E218+E219+E220+E221+E222+E223+E224+E225+E226+E227</f>
        <v>31486955.93</v>
      </c>
      <c r="F231" s="190">
        <f t="shared" ref="F231:AA231" si="108">F191+F192+F193+F194+F195+F196+F197+F198+F199+F200+F205+F206+F207+F208+F209+F210+F211+F212+F213+F214+F217+F218+F219+F220+F221+F222+F223+F224+F225+F226+F227</f>
        <v>0</v>
      </c>
      <c r="G231" s="190">
        <f t="shared" si="108"/>
        <v>297891</v>
      </c>
      <c r="H231" s="190">
        <f t="shared" si="108"/>
        <v>31189064.93</v>
      </c>
      <c r="I231" s="190">
        <f t="shared" si="108"/>
        <v>0</v>
      </c>
      <c r="J231" s="190">
        <f t="shared" si="108"/>
        <v>0</v>
      </c>
      <c r="K231" s="190">
        <f t="shared" si="108"/>
        <v>1368197.54</v>
      </c>
      <c r="L231" s="190">
        <f t="shared" si="108"/>
        <v>0</v>
      </c>
      <c r="M231" s="190">
        <f t="shared" si="108"/>
        <v>0</v>
      </c>
      <c r="N231" s="190">
        <f t="shared" si="108"/>
        <v>0</v>
      </c>
      <c r="O231" s="190">
        <f t="shared" si="108"/>
        <v>1368197.54</v>
      </c>
      <c r="P231" s="190">
        <f t="shared" si="108"/>
        <v>31189064.93</v>
      </c>
      <c r="Q231" s="190">
        <f t="shared" si="108"/>
        <v>0</v>
      </c>
      <c r="R231" s="190">
        <f t="shared" si="108"/>
        <v>0</v>
      </c>
      <c r="S231" s="190">
        <f t="shared" si="108"/>
        <v>0</v>
      </c>
      <c r="T231" s="190">
        <f t="shared" si="108"/>
        <v>31189064.93</v>
      </c>
      <c r="U231" s="190">
        <f t="shared" si="108"/>
        <v>330802.53999999998</v>
      </c>
      <c r="V231" s="190">
        <f t="shared" si="108"/>
        <v>0</v>
      </c>
      <c r="W231" s="190">
        <f t="shared" si="108"/>
        <v>0</v>
      </c>
      <c r="X231" s="190">
        <f t="shared" si="108"/>
        <v>0</v>
      </c>
      <c r="Y231" s="190">
        <f t="shared" si="108"/>
        <v>330802.53999999998</v>
      </c>
      <c r="Z231" s="190">
        <f t="shared" si="108"/>
        <v>26740867.390000001</v>
      </c>
      <c r="AA231" s="190">
        <f t="shared" si="108"/>
        <v>14008139.690000001</v>
      </c>
      <c r="AB231" s="50"/>
      <c r="AC231" s="49"/>
    </row>
    <row r="232" spans="1:29" ht="28.9" customHeight="1" x14ac:dyDescent="0.25">
      <c r="A232" s="126"/>
      <c r="B232" s="123" t="s">
        <v>301</v>
      </c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2">
        <f t="shared" si="103"/>
        <v>0</v>
      </c>
      <c r="U232" s="126"/>
      <c r="V232" s="126"/>
      <c r="W232" s="126"/>
      <c r="X232" s="126"/>
      <c r="Y232" s="126"/>
      <c r="Z232" s="126"/>
      <c r="AA232" s="126"/>
      <c r="AB232" s="50"/>
      <c r="AC232" s="49"/>
    </row>
    <row r="233" spans="1:29" ht="28.9" customHeight="1" x14ac:dyDescent="0.25">
      <c r="A233" s="122" t="s">
        <v>34</v>
      </c>
      <c r="B233" s="127" t="s">
        <v>292</v>
      </c>
      <c r="C233" s="122"/>
      <c r="D233" s="122"/>
      <c r="E233" s="141">
        <f>SUM(E234:E244)</f>
        <v>100672015.04000001</v>
      </c>
      <c r="F233" s="141">
        <f t="shared" ref="F233:AA233" si="109">SUM(F234:F244)</f>
        <v>0</v>
      </c>
      <c r="G233" s="141">
        <f t="shared" si="109"/>
        <v>0</v>
      </c>
      <c r="H233" s="141">
        <f t="shared" si="109"/>
        <v>100672015.04000001</v>
      </c>
      <c r="I233" s="141">
        <f t="shared" si="109"/>
        <v>1339.174</v>
      </c>
      <c r="J233" s="141">
        <f t="shared" si="109"/>
        <v>67205.605843602098</v>
      </c>
      <c r="K233" s="141">
        <f t="shared" si="109"/>
        <v>0</v>
      </c>
      <c r="L233" s="141">
        <f t="shared" si="109"/>
        <v>0</v>
      </c>
      <c r="M233" s="141">
        <f t="shared" si="109"/>
        <v>0</v>
      </c>
      <c r="N233" s="141">
        <f t="shared" si="109"/>
        <v>0</v>
      </c>
      <c r="O233" s="141">
        <f t="shared" si="109"/>
        <v>0</v>
      </c>
      <c r="P233" s="141">
        <f t="shared" si="109"/>
        <v>100672015.04000001</v>
      </c>
      <c r="Q233" s="141">
        <f t="shared" si="109"/>
        <v>26768656.100000001</v>
      </c>
      <c r="R233" s="141">
        <f t="shared" si="109"/>
        <v>14488502.909999998</v>
      </c>
      <c r="S233" s="141">
        <f t="shared" si="109"/>
        <v>3500738.99</v>
      </c>
      <c r="T233" s="141">
        <f>SUM(T234:T244)</f>
        <v>55914117.039999999</v>
      </c>
      <c r="U233" s="141">
        <f t="shared" si="109"/>
        <v>0</v>
      </c>
      <c r="V233" s="141">
        <f t="shared" si="109"/>
        <v>0</v>
      </c>
      <c r="W233" s="141">
        <f t="shared" si="109"/>
        <v>0</v>
      </c>
      <c r="X233" s="141">
        <f t="shared" si="109"/>
        <v>0</v>
      </c>
      <c r="Y233" s="141">
        <f t="shared" si="109"/>
        <v>0</v>
      </c>
      <c r="Z233" s="141">
        <f t="shared" si="109"/>
        <v>14172754.030000001</v>
      </c>
      <c r="AA233" s="141">
        <f t="shared" si="109"/>
        <v>3422580.22</v>
      </c>
      <c r="AB233" s="50"/>
      <c r="AC233" s="49"/>
    </row>
    <row r="234" spans="1:29" ht="38.25" customHeight="1" x14ac:dyDescent="0.25">
      <c r="A234" s="168" t="s">
        <v>43</v>
      </c>
      <c r="B234" s="1" t="s">
        <v>32</v>
      </c>
      <c r="C234" s="3">
        <v>310</v>
      </c>
      <c r="D234" s="142" t="s">
        <v>310</v>
      </c>
      <c r="E234" s="2">
        <v>90000000</v>
      </c>
      <c r="F234" s="98"/>
      <c r="G234" s="4"/>
      <c r="H234" s="7">
        <f t="shared" ref="H234:H241" si="110">E234-F234-G234</f>
        <v>90000000</v>
      </c>
      <c r="I234" s="36">
        <f>1228.6*1.09</f>
        <v>1339.174</v>
      </c>
      <c r="J234" s="36">
        <f>E234/I234</f>
        <v>67205.605843602098</v>
      </c>
      <c r="K234" s="41">
        <f>SUM(L234:O234)</f>
        <v>0</v>
      </c>
      <c r="L234" s="36"/>
      <c r="M234" s="36"/>
      <c r="N234" s="36"/>
      <c r="O234" s="36"/>
      <c r="P234" s="41">
        <f>SUM(Q234:T234)</f>
        <v>90000000</v>
      </c>
      <c r="Q234" s="176">
        <v>26768656.100000001</v>
      </c>
      <c r="R234" s="176">
        <f>17989241.9-S234</f>
        <v>14488502.909999998</v>
      </c>
      <c r="S234" s="176">
        <v>3500738.99</v>
      </c>
      <c r="T234" s="180">
        <f>E234-Q234-R234-S234</f>
        <v>45242102</v>
      </c>
      <c r="U234" s="46">
        <f>SUM(V234:Y234)</f>
        <v>0</v>
      </c>
      <c r="V234" s="36"/>
      <c r="W234" s="36"/>
      <c r="X234" s="36"/>
      <c r="Y234" s="36"/>
      <c r="Z234" s="137">
        <f>S234-N234</f>
        <v>3500738.99</v>
      </c>
      <c r="AA234" s="137">
        <f>Z234+N234-X234+O234</f>
        <v>3500738.99</v>
      </c>
      <c r="AB234" s="50"/>
      <c r="AC234" s="49"/>
    </row>
    <row r="235" spans="1:29" ht="41.25" customHeight="1" x14ac:dyDescent="0.25">
      <c r="A235" s="168" t="s">
        <v>44</v>
      </c>
      <c r="B235" s="3" t="s">
        <v>10</v>
      </c>
      <c r="C235" s="3">
        <v>226</v>
      </c>
      <c r="D235" s="136" t="s">
        <v>311</v>
      </c>
      <c r="E235" s="2">
        <v>99300</v>
      </c>
      <c r="F235" s="98"/>
      <c r="G235" s="4"/>
      <c r="H235" s="7">
        <f t="shared" si="110"/>
        <v>99300</v>
      </c>
      <c r="I235" s="2"/>
      <c r="J235" s="2"/>
      <c r="K235" s="41">
        <f t="shared" ref="K235:K244" si="111">SUM(L235:O235)</f>
        <v>0</v>
      </c>
      <c r="L235" s="2"/>
      <c r="M235" s="2"/>
      <c r="N235" s="2"/>
      <c r="O235" s="2"/>
      <c r="P235" s="41">
        <f t="shared" ref="P235:P244" si="112">SUM(Q235:T235)</f>
        <v>99300</v>
      </c>
      <c r="Q235" s="2"/>
      <c r="R235" s="2"/>
      <c r="S235" s="2"/>
      <c r="T235" s="2">
        <f t="shared" si="103"/>
        <v>99300</v>
      </c>
      <c r="U235" s="46">
        <f t="shared" ref="U235:U244" si="113">SUM(V235:Y235)</f>
        <v>0</v>
      </c>
      <c r="V235" s="2"/>
      <c r="W235" s="2"/>
      <c r="X235" s="2"/>
      <c r="Y235" s="2"/>
      <c r="Z235" s="7">
        <f t="shared" ref="Z235:AA237" si="114">T235-O235</f>
        <v>99300</v>
      </c>
      <c r="AA235" s="7">
        <f t="shared" si="114"/>
        <v>-99300</v>
      </c>
      <c r="AB235" s="50"/>
      <c r="AC235" s="49"/>
    </row>
    <row r="236" spans="1:29" ht="35.25" customHeight="1" x14ac:dyDescent="0.25">
      <c r="A236" s="168" t="s">
        <v>45</v>
      </c>
      <c r="B236" s="3" t="s">
        <v>1</v>
      </c>
      <c r="C236" s="3">
        <v>226</v>
      </c>
      <c r="D236" s="163" t="s">
        <v>317</v>
      </c>
      <c r="E236" s="137">
        <v>670000</v>
      </c>
      <c r="F236" s="98"/>
      <c r="G236" s="4"/>
      <c r="H236" s="7">
        <f t="shared" si="110"/>
        <v>670000</v>
      </c>
      <c r="I236" s="2"/>
      <c r="J236" s="2"/>
      <c r="K236" s="41">
        <f t="shared" si="111"/>
        <v>0</v>
      </c>
      <c r="L236" s="2"/>
      <c r="M236" s="2"/>
      <c r="N236" s="2"/>
      <c r="O236" s="2"/>
      <c r="P236" s="41">
        <f t="shared" si="112"/>
        <v>670000</v>
      </c>
      <c r="Q236" s="2"/>
      <c r="R236" s="2"/>
      <c r="S236" s="2"/>
      <c r="T236" s="2">
        <f t="shared" si="103"/>
        <v>670000</v>
      </c>
      <c r="U236" s="46">
        <f t="shared" si="113"/>
        <v>0</v>
      </c>
      <c r="V236" s="2"/>
      <c r="W236" s="2"/>
      <c r="X236" s="2"/>
      <c r="Y236" s="2"/>
      <c r="Z236" s="7">
        <f t="shared" si="114"/>
        <v>670000</v>
      </c>
      <c r="AA236" s="7">
        <f t="shared" si="114"/>
        <v>-670000</v>
      </c>
      <c r="AB236" s="50"/>
      <c r="AC236" s="49"/>
    </row>
    <row r="237" spans="1:29" ht="45" customHeight="1" x14ac:dyDescent="0.25">
      <c r="A237" s="5" t="s">
        <v>290</v>
      </c>
      <c r="B237" s="1" t="s">
        <v>11</v>
      </c>
      <c r="C237" s="1">
        <v>226</v>
      </c>
      <c r="D237" s="136" t="s">
        <v>311</v>
      </c>
      <c r="E237" s="2">
        <v>3000000</v>
      </c>
      <c r="F237" s="98"/>
      <c r="G237" s="4"/>
      <c r="H237" s="7">
        <f t="shared" si="110"/>
        <v>3000000</v>
      </c>
      <c r="I237" s="2"/>
      <c r="J237" s="2"/>
      <c r="K237" s="41">
        <f t="shared" si="111"/>
        <v>0</v>
      </c>
      <c r="L237" s="2"/>
      <c r="M237" s="2"/>
      <c r="N237" s="2"/>
      <c r="O237" s="2"/>
      <c r="P237" s="41">
        <f t="shared" si="112"/>
        <v>3000000</v>
      </c>
      <c r="Q237" s="2"/>
      <c r="R237" s="2"/>
      <c r="S237" s="2"/>
      <c r="T237" s="2">
        <f t="shared" si="103"/>
        <v>3000000</v>
      </c>
      <c r="U237" s="77">
        <f t="shared" si="113"/>
        <v>0</v>
      </c>
      <c r="V237" s="2"/>
      <c r="W237" s="2"/>
      <c r="X237" s="2"/>
      <c r="Y237" s="2"/>
      <c r="Z237" s="7">
        <f t="shared" si="114"/>
        <v>3000000</v>
      </c>
      <c r="AA237" s="7">
        <f t="shared" si="114"/>
        <v>-3000000</v>
      </c>
      <c r="AB237" s="50"/>
      <c r="AC237" s="49"/>
    </row>
    <row r="238" spans="1:29" ht="40.5" customHeight="1" x14ac:dyDescent="0.25">
      <c r="A238" s="60" t="s">
        <v>293</v>
      </c>
      <c r="B238" s="61" t="s">
        <v>20</v>
      </c>
      <c r="C238" s="61">
        <v>226</v>
      </c>
      <c r="D238" s="136" t="s">
        <v>311</v>
      </c>
      <c r="E238" s="137">
        <v>140000</v>
      </c>
      <c r="F238" s="98"/>
      <c r="G238" s="4"/>
      <c r="H238" s="7">
        <f t="shared" si="110"/>
        <v>140000</v>
      </c>
      <c r="I238" s="7"/>
      <c r="J238" s="7"/>
      <c r="K238" s="63">
        <f t="shared" si="111"/>
        <v>0</v>
      </c>
      <c r="L238" s="7"/>
      <c r="M238" s="7"/>
      <c r="N238" s="7"/>
      <c r="O238" s="7"/>
      <c r="P238" s="63">
        <f t="shared" si="112"/>
        <v>140000</v>
      </c>
      <c r="Q238" s="7"/>
      <c r="R238" s="7"/>
      <c r="S238" s="7"/>
      <c r="T238" s="2">
        <f t="shared" si="103"/>
        <v>140000</v>
      </c>
      <c r="U238" s="64">
        <f t="shared" si="113"/>
        <v>0</v>
      </c>
      <c r="V238" s="7"/>
      <c r="W238" s="7"/>
      <c r="X238" s="7"/>
      <c r="Y238" s="7"/>
      <c r="Z238" s="7">
        <f t="shared" ref="Z238:Z244" si="115">T238-O238</f>
        <v>140000</v>
      </c>
      <c r="AA238" s="7">
        <f>O238-Y238</f>
        <v>0</v>
      </c>
      <c r="AB238" s="50"/>
      <c r="AC238" s="49"/>
    </row>
    <row r="239" spans="1:29" ht="43.5" customHeight="1" x14ac:dyDescent="0.25">
      <c r="A239" s="168" t="s">
        <v>294</v>
      </c>
      <c r="B239" s="3" t="s">
        <v>12</v>
      </c>
      <c r="C239" s="3">
        <v>226</v>
      </c>
      <c r="D239" s="136" t="s">
        <v>312</v>
      </c>
      <c r="E239" s="2">
        <v>643991.23</v>
      </c>
      <c r="F239" s="98"/>
      <c r="G239" s="4"/>
      <c r="H239" s="7">
        <f t="shared" si="110"/>
        <v>643991.23</v>
      </c>
      <c r="I239" s="2"/>
      <c r="J239" s="2"/>
      <c r="K239" s="41">
        <f t="shared" si="111"/>
        <v>0</v>
      </c>
      <c r="L239" s="2"/>
      <c r="M239" s="2"/>
      <c r="N239" s="2"/>
      <c r="O239" s="2"/>
      <c r="P239" s="41">
        <f t="shared" si="112"/>
        <v>643991.23</v>
      </c>
      <c r="Q239" s="2"/>
      <c r="R239" s="2"/>
      <c r="S239" s="2"/>
      <c r="T239" s="2">
        <f t="shared" si="103"/>
        <v>643991.23</v>
      </c>
      <c r="U239" s="46">
        <f t="shared" si="113"/>
        <v>0</v>
      </c>
      <c r="V239" s="2"/>
      <c r="W239" s="2"/>
      <c r="X239" s="2"/>
      <c r="Y239" s="2"/>
      <c r="Z239" s="7">
        <f t="shared" si="115"/>
        <v>643991.23</v>
      </c>
      <c r="AA239" s="7">
        <f>T239-Y239</f>
        <v>643991.23</v>
      </c>
      <c r="AB239" s="50"/>
      <c r="AC239" s="49"/>
    </row>
    <row r="240" spans="1:29" ht="38.25" customHeight="1" x14ac:dyDescent="0.25">
      <c r="A240" s="168" t="s">
        <v>295</v>
      </c>
      <c r="B240" s="3" t="s">
        <v>13</v>
      </c>
      <c r="C240" s="3">
        <v>226</v>
      </c>
      <c r="D240" s="136" t="s">
        <v>313</v>
      </c>
      <c r="E240" s="2">
        <v>1615171</v>
      </c>
      <c r="F240" s="98"/>
      <c r="G240" s="4"/>
      <c r="H240" s="7">
        <f t="shared" si="110"/>
        <v>1615171</v>
      </c>
      <c r="I240" s="2"/>
      <c r="J240" s="2"/>
      <c r="K240" s="41">
        <f t="shared" si="111"/>
        <v>0</v>
      </c>
      <c r="L240" s="2"/>
      <c r="M240" s="2"/>
      <c r="N240" s="2"/>
      <c r="O240" s="2"/>
      <c r="P240" s="41">
        <f t="shared" si="112"/>
        <v>1615171</v>
      </c>
      <c r="Q240" s="2"/>
      <c r="R240" s="2"/>
      <c r="S240" s="2"/>
      <c r="T240" s="2">
        <f t="shared" si="103"/>
        <v>1615171</v>
      </c>
      <c r="U240" s="46">
        <f t="shared" si="113"/>
        <v>0</v>
      </c>
      <c r="V240" s="2"/>
      <c r="W240" s="2"/>
      <c r="X240" s="2"/>
      <c r="Y240" s="2"/>
      <c r="Z240" s="7">
        <f t="shared" si="115"/>
        <v>1615171</v>
      </c>
      <c r="AA240" s="7">
        <f>T240-Y240</f>
        <v>1615171</v>
      </c>
      <c r="AB240" s="50"/>
      <c r="AC240" s="49"/>
    </row>
    <row r="241" spans="1:29" ht="39" customHeight="1" x14ac:dyDescent="0.25">
      <c r="A241" s="5" t="s">
        <v>296</v>
      </c>
      <c r="B241" s="1" t="s">
        <v>15</v>
      </c>
      <c r="C241" s="1">
        <v>226</v>
      </c>
      <c r="D241" s="136" t="s">
        <v>313</v>
      </c>
      <c r="E241" s="2">
        <v>1431979</v>
      </c>
      <c r="F241" s="98"/>
      <c r="G241" s="4"/>
      <c r="H241" s="7">
        <f t="shared" si="110"/>
        <v>1431979</v>
      </c>
      <c r="I241" s="2"/>
      <c r="J241" s="2"/>
      <c r="K241" s="41">
        <f t="shared" si="111"/>
        <v>0</v>
      </c>
      <c r="L241" s="2"/>
      <c r="M241" s="2"/>
      <c r="N241" s="2"/>
      <c r="O241" s="2"/>
      <c r="P241" s="41">
        <f t="shared" si="112"/>
        <v>1431979</v>
      </c>
      <c r="Q241" s="2"/>
      <c r="R241" s="2"/>
      <c r="S241" s="2"/>
      <c r="T241" s="2">
        <f t="shared" si="103"/>
        <v>1431979</v>
      </c>
      <c r="U241" s="77">
        <f t="shared" si="113"/>
        <v>0</v>
      </c>
      <c r="V241" s="2"/>
      <c r="W241" s="2"/>
      <c r="X241" s="2"/>
      <c r="Y241" s="2"/>
      <c r="Z241" s="7">
        <f t="shared" si="115"/>
        <v>1431979</v>
      </c>
      <c r="AA241" s="7">
        <f>T241-Y241</f>
        <v>1431979</v>
      </c>
      <c r="AB241" s="50"/>
      <c r="AC241" s="49"/>
    </row>
    <row r="242" spans="1:29" ht="54" customHeight="1" x14ac:dyDescent="0.25">
      <c r="A242" s="60" t="s">
        <v>297</v>
      </c>
      <c r="B242" s="61" t="s">
        <v>270</v>
      </c>
      <c r="C242" s="61">
        <v>226</v>
      </c>
      <c r="D242" s="136" t="s">
        <v>314</v>
      </c>
      <c r="E242" s="137">
        <v>2991573.81</v>
      </c>
      <c r="F242" s="98"/>
      <c r="G242" s="4"/>
      <c r="H242" s="7">
        <f>E242-F242-G242</f>
        <v>2991573.81</v>
      </c>
      <c r="I242" s="7"/>
      <c r="J242" s="7"/>
      <c r="K242" s="63">
        <f t="shared" si="111"/>
        <v>0</v>
      </c>
      <c r="L242" s="7"/>
      <c r="M242" s="7"/>
      <c r="N242" s="7"/>
      <c r="O242" s="7"/>
      <c r="P242" s="63">
        <f t="shared" si="112"/>
        <v>2991573.81</v>
      </c>
      <c r="Q242" s="7"/>
      <c r="R242" s="7"/>
      <c r="S242" s="7"/>
      <c r="T242" s="2">
        <f t="shared" si="103"/>
        <v>2991573.81</v>
      </c>
      <c r="U242" s="64">
        <f t="shared" si="113"/>
        <v>0</v>
      </c>
      <c r="V242" s="7"/>
      <c r="W242" s="7"/>
      <c r="X242" s="7"/>
      <c r="Y242" s="7"/>
      <c r="Z242" s="7">
        <f t="shared" si="115"/>
        <v>2991573.81</v>
      </c>
      <c r="AA242" s="7">
        <f>O242</f>
        <v>0</v>
      </c>
      <c r="AB242" s="50"/>
      <c r="AC242" s="49"/>
    </row>
    <row r="243" spans="1:29" ht="75.75" customHeight="1" x14ac:dyDescent="0.25">
      <c r="A243" s="60" t="s">
        <v>298</v>
      </c>
      <c r="B243" s="61" t="s">
        <v>208</v>
      </c>
      <c r="C243" s="61">
        <v>226</v>
      </c>
      <c r="D243" s="136" t="s">
        <v>314</v>
      </c>
      <c r="E243" s="137">
        <v>70000</v>
      </c>
      <c r="F243" s="98"/>
      <c r="G243" s="4"/>
      <c r="H243" s="7">
        <f>E243-F243-G243</f>
        <v>70000</v>
      </c>
      <c r="I243" s="7"/>
      <c r="J243" s="7"/>
      <c r="K243" s="63">
        <f t="shared" si="111"/>
        <v>0</v>
      </c>
      <c r="L243" s="7"/>
      <c r="M243" s="7"/>
      <c r="N243" s="7"/>
      <c r="O243" s="7"/>
      <c r="P243" s="63">
        <f t="shared" si="112"/>
        <v>70000</v>
      </c>
      <c r="Q243" s="7"/>
      <c r="R243" s="7"/>
      <c r="S243" s="7"/>
      <c r="T243" s="2">
        <f t="shared" si="103"/>
        <v>70000</v>
      </c>
      <c r="U243" s="64">
        <f t="shared" si="113"/>
        <v>0</v>
      </c>
      <c r="V243" s="7"/>
      <c r="W243" s="7"/>
      <c r="X243" s="7"/>
      <c r="Y243" s="7"/>
      <c r="Z243" s="7">
        <f t="shared" si="115"/>
        <v>70000</v>
      </c>
      <c r="AA243" s="7">
        <f>O243</f>
        <v>0</v>
      </c>
      <c r="AB243" s="50"/>
      <c r="AC243" s="49"/>
    </row>
    <row r="244" spans="1:29" ht="28.9" customHeight="1" x14ac:dyDescent="0.25">
      <c r="A244" s="60" t="s">
        <v>299</v>
      </c>
      <c r="B244" s="68" t="s">
        <v>22</v>
      </c>
      <c r="C244" s="68">
        <v>226</v>
      </c>
      <c r="D244" s="142" t="s">
        <v>310</v>
      </c>
      <c r="E244" s="137">
        <v>10000</v>
      </c>
      <c r="F244" s="98"/>
      <c r="G244" s="4"/>
      <c r="H244" s="7">
        <f>E244-F244-G244</f>
        <v>10000</v>
      </c>
      <c r="I244" s="7"/>
      <c r="J244" s="7"/>
      <c r="K244" s="63">
        <f t="shared" si="111"/>
        <v>0</v>
      </c>
      <c r="L244" s="7"/>
      <c r="M244" s="7"/>
      <c r="N244" s="7"/>
      <c r="O244" s="7"/>
      <c r="P244" s="63">
        <f t="shared" si="112"/>
        <v>10000</v>
      </c>
      <c r="Q244" s="7"/>
      <c r="R244" s="7"/>
      <c r="S244" s="7"/>
      <c r="T244" s="2">
        <f t="shared" si="103"/>
        <v>10000</v>
      </c>
      <c r="U244" s="64">
        <f t="shared" si="113"/>
        <v>0</v>
      </c>
      <c r="V244" s="7"/>
      <c r="W244" s="7"/>
      <c r="X244" s="7"/>
      <c r="Y244" s="7"/>
      <c r="Z244" s="7">
        <f t="shared" si="115"/>
        <v>10000</v>
      </c>
      <c r="AA244" s="7"/>
      <c r="AB244" s="50"/>
      <c r="AC244" s="49"/>
    </row>
    <row r="245" spans="1:29" ht="35.25" customHeight="1" x14ac:dyDescent="0.25">
      <c r="A245" s="195"/>
      <c r="B245" s="196" t="s">
        <v>333</v>
      </c>
      <c r="C245" s="196"/>
      <c r="D245" s="197" t="s">
        <v>328</v>
      </c>
      <c r="E245" s="191">
        <f>E233</f>
        <v>100672015.04000001</v>
      </c>
      <c r="F245" s="191">
        <f t="shared" ref="F245:AA246" si="116">F233</f>
        <v>0</v>
      </c>
      <c r="G245" s="191">
        <f t="shared" si="116"/>
        <v>0</v>
      </c>
      <c r="H245" s="191">
        <f t="shared" si="116"/>
        <v>100672015.04000001</v>
      </c>
      <c r="I245" s="191">
        <f t="shared" si="116"/>
        <v>1339.174</v>
      </c>
      <c r="J245" s="191">
        <f t="shared" si="116"/>
        <v>67205.605843602098</v>
      </c>
      <c r="K245" s="191">
        <f t="shared" si="116"/>
        <v>0</v>
      </c>
      <c r="L245" s="191">
        <f t="shared" si="116"/>
        <v>0</v>
      </c>
      <c r="M245" s="191">
        <f t="shared" si="116"/>
        <v>0</v>
      </c>
      <c r="N245" s="191">
        <f t="shared" si="116"/>
        <v>0</v>
      </c>
      <c r="O245" s="191">
        <f t="shared" si="116"/>
        <v>0</v>
      </c>
      <c r="P245" s="191">
        <f t="shared" si="116"/>
        <v>100672015.04000001</v>
      </c>
      <c r="Q245" s="191">
        <f t="shared" si="116"/>
        <v>26768656.100000001</v>
      </c>
      <c r="R245" s="191">
        <f t="shared" si="116"/>
        <v>14488502.909999998</v>
      </c>
      <c r="S245" s="191">
        <f t="shared" si="116"/>
        <v>3500738.99</v>
      </c>
      <c r="T245" s="191">
        <f t="shared" si="116"/>
        <v>55914117.039999999</v>
      </c>
      <c r="U245" s="191">
        <f t="shared" si="116"/>
        <v>0</v>
      </c>
      <c r="V245" s="191">
        <f t="shared" si="116"/>
        <v>0</v>
      </c>
      <c r="W245" s="191">
        <f t="shared" si="116"/>
        <v>0</v>
      </c>
      <c r="X245" s="191">
        <f t="shared" si="116"/>
        <v>0</v>
      </c>
      <c r="Y245" s="191">
        <f t="shared" si="116"/>
        <v>0</v>
      </c>
      <c r="Z245" s="191">
        <f t="shared" si="116"/>
        <v>14172754.030000001</v>
      </c>
      <c r="AA245" s="191">
        <f t="shared" si="116"/>
        <v>3422580.22</v>
      </c>
      <c r="AB245" s="50"/>
      <c r="AC245" s="49"/>
    </row>
    <row r="246" spans="1:29" ht="20.100000000000001" customHeight="1" x14ac:dyDescent="0.25">
      <c r="A246" s="189"/>
      <c r="B246" s="192" t="s">
        <v>307</v>
      </c>
      <c r="C246" s="193">
        <v>310</v>
      </c>
      <c r="D246" s="194" t="s">
        <v>328</v>
      </c>
      <c r="E246" s="190">
        <f>E234</f>
        <v>90000000</v>
      </c>
      <c r="F246" s="190">
        <f t="shared" si="116"/>
        <v>0</v>
      </c>
      <c r="G246" s="190">
        <f t="shared" si="116"/>
        <v>0</v>
      </c>
      <c r="H246" s="190">
        <f t="shared" si="116"/>
        <v>90000000</v>
      </c>
      <c r="I246" s="190">
        <f t="shared" si="116"/>
        <v>1339.174</v>
      </c>
      <c r="J246" s="190">
        <f t="shared" si="116"/>
        <v>67205.605843602098</v>
      </c>
      <c r="K246" s="190">
        <f t="shared" si="116"/>
        <v>0</v>
      </c>
      <c r="L246" s="190">
        <f t="shared" si="116"/>
        <v>0</v>
      </c>
      <c r="M246" s="190">
        <f t="shared" si="116"/>
        <v>0</v>
      </c>
      <c r="N246" s="190">
        <f t="shared" si="116"/>
        <v>0</v>
      </c>
      <c r="O246" s="190">
        <f t="shared" si="116"/>
        <v>0</v>
      </c>
      <c r="P246" s="190">
        <f t="shared" si="116"/>
        <v>90000000</v>
      </c>
      <c r="Q246" s="190">
        <f t="shared" si="116"/>
        <v>26768656.100000001</v>
      </c>
      <c r="R246" s="190">
        <f t="shared" si="116"/>
        <v>14488502.909999998</v>
      </c>
      <c r="S246" s="190">
        <f t="shared" si="116"/>
        <v>3500738.99</v>
      </c>
      <c r="T246" s="190">
        <f t="shared" si="116"/>
        <v>45242102</v>
      </c>
      <c r="U246" s="190">
        <f t="shared" si="116"/>
        <v>0</v>
      </c>
      <c r="V246" s="190">
        <f t="shared" si="116"/>
        <v>0</v>
      </c>
      <c r="W246" s="190">
        <f t="shared" si="116"/>
        <v>0</v>
      </c>
      <c r="X246" s="190">
        <f t="shared" si="116"/>
        <v>0</v>
      </c>
      <c r="Y246" s="190">
        <f t="shared" si="116"/>
        <v>0</v>
      </c>
      <c r="Z246" s="190">
        <f t="shared" si="116"/>
        <v>3500738.99</v>
      </c>
      <c r="AA246" s="190">
        <f t="shared" si="116"/>
        <v>3500738.99</v>
      </c>
      <c r="AB246" s="50"/>
      <c r="AC246" s="49"/>
    </row>
    <row r="247" spans="1:29" ht="20.100000000000001" customHeight="1" x14ac:dyDescent="0.25">
      <c r="A247" s="189"/>
      <c r="B247" s="192" t="s">
        <v>307</v>
      </c>
      <c r="C247" s="193">
        <v>226</v>
      </c>
      <c r="D247" s="194" t="s">
        <v>328</v>
      </c>
      <c r="E247" s="190">
        <f>E235+E236+E237+E238+E239+E240+E241+E242+E243+E244</f>
        <v>10672015.040000001</v>
      </c>
      <c r="F247" s="190">
        <f t="shared" ref="F247:AA247" si="117">F235+F236+F237+F238+F239+F240+F241+F242+F243+F244</f>
        <v>0</v>
      </c>
      <c r="G247" s="190">
        <f t="shared" si="117"/>
        <v>0</v>
      </c>
      <c r="H247" s="190">
        <f t="shared" si="117"/>
        <v>10672015.040000001</v>
      </c>
      <c r="I247" s="190">
        <f t="shared" si="117"/>
        <v>0</v>
      </c>
      <c r="J247" s="190">
        <f t="shared" si="117"/>
        <v>0</v>
      </c>
      <c r="K247" s="190">
        <f t="shared" si="117"/>
        <v>0</v>
      </c>
      <c r="L247" s="190">
        <f t="shared" si="117"/>
        <v>0</v>
      </c>
      <c r="M247" s="190">
        <f t="shared" si="117"/>
        <v>0</v>
      </c>
      <c r="N247" s="190">
        <f t="shared" si="117"/>
        <v>0</v>
      </c>
      <c r="O247" s="190">
        <f t="shared" si="117"/>
        <v>0</v>
      </c>
      <c r="P247" s="190">
        <f t="shared" si="117"/>
        <v>10672015.040000001</v>
      </c>
      <c r="Q247" s="190">
        <f t="shared" si="117"/>
        <v>0</v>
      </c>
      <c r="R247" s="190">
        <f t="shared" si="117"/>
        <v>0</v>
      </c>
      <c r="S247" s="190">
        <f t="shared" si="117"/>
        <v>0</v>
      </c>
      <c r="T247" s="190">
        <f t="shared" si="117"/>
        <v>10672015.040000001</v>
      </c>
      <c r="U247" s="190">
        <f t="shared" si="117"/>
        <v>0</v>
      </c>
      <c r="V247" s="190">
        <f t="shared" si="117"/>
        <v>0</v>
      </c>
      <c r="W247" s="190">
        <f t="shared" si="117"/>
        <v>0</v>
      </c>
      <c r="X247" s="190">
        <f t="shared" si="117"/>
        <v>0</v>
      </c>
      <c r="Y247" s="190">
        <f t="shared" si="117"/>
        <v>0</v>
      </c>
      <c r="Z247" s="190">
        <f t="shared" si="117"/>
        <v>10672015.040000001</v>
      </c>
      <c r="AA247" s="190">
        <f t="shared" si="117"/>
        <v>-78158.770000000019</v>
      </c>
      <c r="AB247" s="50"/>
      <c r="AC247" s="49"/>
    </row>
    <row r="248" spans="1:29" ht="19.5" hidden="1" customHeight="1" x14ac:dyDescent="0.25">
      <c r="A248" s="146"/>
      <c r="B248" s="155" t="s">
        <v>306</v>
      </c>
      <c r="C248" s="147"/>
      <c r="D248" s="148"/>
      <c r="E248" s="149"/>
      <c r="F248" s="150"/>
      <c r="G248" s="151"/>
      <c r="H248" s="152"/>
      <c r="I248" s="152"/>
      <c r="J248" s="152"/>
      <c r="K248" s="153"/>
      <c r="L248" s="152"/>
      <c r="M248" s="152"/>
      <c r="N248" s="152"/>
      <c r="O248" s="152"/>
      <c r="P248" s="153"/>
      <c r="Q248" s="152"/>
      <c r="R248" s="152"/>
      <c r="S248" s="152"/>
      <c r="T248" s="152"/>
      <c r="U248" s="154"/>
      <c r="V248" s="152"/>
      <c r="W248" s="152"/>
      <c r="X248" s="152"/>
      <c r="Y248" s="152"/>
      <c r="Z248" s="152"/>
      <c r="AA248" s="152"/>
      <c r="AB248" s="50"/>
      <c r="AC248" s="49"/>
    </row>
    <row r="249" spans="1:29" ht="25.5" hidden="1" customHeight="1" x14ac:dyDescent="0.25">
      <c r="A249" s="21"/>
      <c r="B249" s="22" t="s">
        <v>25</v>
      </c>
      <c r="C249" s="22"/>
      <c r="D249" s="75"/>
      <c r="E249" s="45">
        <f>E112+E152</f>
        <v>1048485255.4200001</v>
      </c>
      <c r="F249" s="111">
        <f>F112+F152</f>
        <v>1656913.57</v>
      </c>
      <c r="G249" s="117">
        <f>G112+G152</f>
        <v>96679966.799999982</v>
      </c>
      <c r="H249" s="94">
        <f>H112+H152</f>
        <v>950148375.04999995</v>
      </c>
      <c r="I249" s="23">
        <f>I112+I152</f>
        <v>13644.01</v>
      </c>
      <c r="J249" s="23">
        <f>E249/I249</f>
        <v>76845.828713112933</v>
      </c>
      <c r="K249" s="45">
        <f t="shared" ref="K249:AB249" si="118">K112+K152</f>
        <v>663711144.50999999</v>
      </c>
      <c r="L249" s="23">
        <f t="shared" si="118"/>
        <v>135806164.04999998</v>
      </c>
      <c r="M249" s="23">
        <f t="shared" si="118"/>
        <v>223658138.72</v>
      </c>
      <c r="N249" s="23">
        <f t="shared" si="118"/>
        <v>28301827.140000001</v>
      </c>
      <c r="O249" s="23">
        <f t="shared" si="118"/>
        <v>275945014.59999996</v>
      </c>
      <c r="P249" s="45">
        <f t="shared" si="118"/>
        <v>723085186.02999997</v>
      </c>
      <c r="Q249" s="23">
        <f t="shared" si="118"/>
        <v>135094097.72</v>
      </c>
      <c r="R249" s="23">
        <f t="shared" si="118"/>
        <v>221936711.07999998</v>
      </c>
      <c r="S249" s="23">
        <f t="shared" si="118"/>
        <v>34576058.210000001</v>
      </c>
      <c r="T249" s="23">
        <f t="shared" si="118"/>
        <v>331478319.01999992</v>
      </c>
      <c r="U249" s="45">
        <f t="shared" si="118"/>
        <v>230791576.51999998</v>
      </c>
      <c r="V249" s="23">
        <f t="shared" si="118"/>
        <v>66080651.480000004</v>
      </c>
      <c r="W249" s="23">
        <f t="shared" si="118"/>
        <v>123704410.88</v>
      </c>
      <c r="X249" s="23">
        <f t="shared" si="118"/>
        <v>17757961.469999999</v>
      </c>
      <c r="Y249" s="23">
        <f t="shared" si="118"/>
        <v>23248552.689999998</v>
      </c>
      <c r="Z249" s="45">
        <f t="shared" si="118"/>
        <v>61807535.489999995</v>
      </c>
      <c r="AA249" s="45">
        <f t="shared" si="118"/>
        <v>325045385.06999999</v>
      </c>
      <c r="AB249" s="23">
        <f t="shared" si="118"/>
        <v>325047863.06999999</v>
      </c>
      <c r="AC249" s="49">
        <f>AA249-AB249</f>
        <v>-2478</v>
      </c>
    </row>
    <row r="250" spans="1:29" ht="25.5" hidden="1" customHeight="1" x14ac:dyDescent="0.25">
      <c r="A250" s="21"/>
      <c r="B250" s="156" t="s">
        <v>193</v>
      </c>
      <c r="C250" s="22">
        <v>310</v>
      </c>
      <c r="D250" s="22"/>
      <c r="E250" s="23">
        <f t="shared" ref="E250:H251" si="119">E113</f>
        <v>615408104.99000001</v>
      </c>
      <c r="F250" s="104">
        <f t="shared" si="119"/>
        <v>0</v>
      </c>
      <c r="G250" s="85">
        <f t="shared" si="119"/>
        <v>53558302.990000002</v>
      </c>
      <c r="H250" s="95">
        <f t="shared" si="119"/>
        <v>561849802</v>
      </c>
      <c r="I250" s="23"/>
      <c r="J250" s="23"/>
      <c r="K250" s="45">
        <f t="shared" ref="K250:AA251" si="120">K113</f>
        <v>554877102.44000006</v>
      </c>
      <c r="L250" s="23">
        <f t="shared" si="120"/>
        <v>82216230.189999998</v>
      </c>
      <c r="M250" s="23">
        <f t="shared" si="120"/>
        <v>198753355.67999998</v>
      </c>
      <c r="N250" s="23">
        <f t="shared" si="120"/>
        <v>22436479.710000001</v>
      </c>
      <c r="O250" s="23">
        <f t="shared" si="120"/>
        <v>251471036.86000001</v>
      </c>
      <c r="P250" s="45">
        <f t="shared" si="120"/>
        <v>553642253.86999989</v>
      </c>
      <c r="Q250" s="23">
        <f t="shared" si="120"/>
        <v>81504163.859999999</v>
      </c>
      <c r="R250" s="23">
        <f t="shared" si="120"/>
        <v>197031928.03999996</v>
      </c>
      <c r="S250" s="23">
        <f t="shared" si="120"/>
        <v>23635125.109999999</v>
      </c>
      <c r="T250" s="23">
        <f t="shared" si="120"/>
        <v>251471036.86000001</v>
      </c>
      <c r="U250" s="45">
        <f t="shared" si="120"/>
        <v>192415991.38</v>
      </c>
      <c r="V250" s="23">
        <f t="shared" si="120"/>
        <v>47585285.390000001</v>
      </c>
      <c r="W250" s="23">
        <f t="shared" si="120"/>
        <v>115049452.25</v>
      </c>
      <c r="X250" s="23">
        <f t="shared" si="120"/>
        <v>13797903.810000001</v>
      </c>
      <c r="Y250" s="23">
        <f t="shared" si="120"/>
        <v>15983349.93</v>
      </c>
      <c r="Z250" s="45">
        <f t="shared" si="120"/>
        <v>1198645.4000000004</v>
      </c>
      <c r="AA250" s="45">
        <f t="shared" si="120"/>
        <v>245324908.22999999</v>
      </c>
      <c r="AB250" s="56"/>
    </row>
    <row r="251" spans="1:29" ht="25.5" hidden="1" customHeight="1" x14ac:dyDescent="0.25">
      <c r="A251" s="21"/>
      <c r="B251" s="156" t="s">
        <v>193</v>
      </c>
      <c r="C251" s="59">
        <v>226</v>
      </c>
      <c r="D251" s="22"/>
      <c r="E251" s="23">
        <f t="shared" si="119"/>
        <v>44498236.680000007</v>
      </c>
      <c r="F251" s="104">
        <f t="shared" si="119"/>
        <v>1656913.57</v>
      </c>
      <c r="G251" s="85">
        <f t="shared" si="119"/>
        <v>27322953.620000005</v>
      </c>
      <c r="H251" s="95">
        <f t="shared" si="119"/>
        <v>15518369.49</v>
      </c>
      <c r="I251" s="23"/>
      <c r="J251" s="23"/>
      <c r="K251" s="45">
        <f t="shared" si="120"/>
        <v>15518369.49</v>
      </c>
      <c r="L251" s="23">
        <f t="shared" si="120"/>
        <v>0</v>
      </c>
      <c r="M251" s="23">
        <f t="shared" si="120"/>
        <v>0</v>
      </c>
      <c r="N251" s="23">
        <f t="shared" si="120"/>
        <v>0</v>
      </c>
      <c r="O251" s="23">
        <f t="shared" si="120"/>
        <v>15518369.49</v>
      </c>
      <c r="P251" s="45">
        <f t="shared" si="120"/>
        <v>15518369.49</v>
      </c>
      <c r="Q251" s="23">
        <f t="shared" si="120"/>
        <v>0</v>
      </c>
      <c r="R251" s="23">
        <f t="shared" si="120"/>
        <v>0</v>
      </c>
      <c r="S251" s="23">
        <f t="shared" si="120"/>
        <v>0</v>
      </c>
      <c r="T251" s="23">
        <f t="shared" si="120"/>
        <v>15518369.49</v>
      </c>
      <c r="U251" s="45">
        <f t="shared" si="120"/>
        <v>1624045.75</v>
      </c>
      <c r="V251" s="23">
        <f t="shared" si="120"/>
        <v>0</v>
      </c>
      <c r="W251" s="23">
        <f t="shared" si="120"/>
        <v>0</v>
      </c>
      <c r="X251" s="23">
        <f t="shared" si="120"/>
        <v>0</v>
      </c>
      <c r="Y251" s="23">
        <f t="shared" si="120"/>
        <v>1624045.75</v>
      </c>
      <c r="Z251" s="45">
        <f t="shared" si="120"/>
        <v>0</v>
      </c>
      <c r="AA251" s="45">
        <f t="shared" si="120"/>
        <v>13894323.740000002</v>
      </c>
      <c r="AB251" s="56"/>
    </row>
    <row r="252" spans="1:29" ht="25.5" hidden="1" customHeight="1" x14ac:dyDescent="0.25">
      <c r="A252" s="21"/>
      <c r="B252" s="156" t="s">
        <v>195</v>
      </c>
      <c r="C252" s="22">
        <v>310</v>
      </c>
      <c r="D252" s="22"/>
      <c r="E252" s="23">
        <f t="shared" ref="E252:H254" si="121">E153</f>
        <v>131329506.49000001</v>
      </c>
      <c r="F252" s="104">
        <f t="shared" si="121"/>
        <v>0</v>
      </c>
      <c r="G252" s="85">
        <f t="shared" si="121"/>
        <v>0</v>
      </c>
      <c r="H252" s="95">
        <f t="shared" si="121"/>
        <v>131329506.49000001</v>
      </c>
      <c r="I252" s="23"/>
      <c r="J252" s="23"/>
      <c r="K252" s="45">
        <f t="shared" ref="K252:AA254" si="122">K153</f>
        <v>75325424.329999998</v>
      </c>
      <c r="L252" s="23">
        <f t="shared" si="122"/>
        <v>47799030.420000002</v>
      </c>
      <c r="M252" s="23">
        <f t="shared" si="122"/>
        <v>22367690.850000001</v>
      </c>
      <c r="N252" s="23">
        <f t="shared" si="122"/>
        <v>5158703.0600000005</v>
      </c>
      <c r="O252" s="23">
        <f t="shared" si="122"/>
        <v>0</v>
      </c>
      <c r="P252" s="45">
        <f t="shared" si="122"/>
        <v>131329506.48999999</v>
      </c>
      <c r="Q252" s="23">
        <f t="shared" si="122"/>
        <v>47799030.420000002</v>
      </c>
      <c r="R252" s="23">
        <f t="shared" si="122"/>
        <v>22367690.850000001</v>
      </c>
      <c r="S252" s="23">
        <f t="shared" si="122"/>
        <v>10234288.73</v>
      </c>
      <c r="T252" s="23">
        <f t="shared" si="122"/>
        <v>50928496.489999995</v>
      </c>
      <c r="U252" s="45">
        <f t="shared" si="122"/>
        <v>31110382.380000003</v>
      </c>
      <c r="V252" s="23">
        <f t="shared" si="122"/>
        <v>18495366.09</v>
      </c>
      <c r="W252" s="23">
        <f t="shared" si="122"/>
        <v>8654958.629999999</v>
      </c>
      <c r="X252" s="23">
        <f t="shared" si="122"/>
        <v>3960057.6599999997</v>
      </c>
      <c r="Y252" s="23">
        <f t="shared" si="122"/>
        <v>0</v>
      </c>
      <c r="Z252" s="45">
        <f t="shared" si="122"/>
        <v>56004082.159999996</v>
      </c>
      <c r="AA252" s="45">
        <f t="shared" si="122"/>
        <v>57202727.560000002</v>
      </c>
      <c r="AB252" s="56"/>
    </row>
    <row r="253" spans="1:29" ht="25.5" hidden="1" customHeight="1" x14ac:dyDescent="0.25">
      <c r="A253" s="21"/>
      <c r="B253" s="156" t="s">
        <v>195</v>
      </c>
      <c r="C253" s="59" t="s">
        <v>236</v>
      </c>
      <c r="D253" s="22"/>
      <c r="E253" s="23">
        <f t="shared" si="121"/>
        <v>12831463.459999999</v>
      </c>
      <c r="F253" s="104">
        <f t="shared" si="121"/>
        <v>0</v>
      </c>
      <c r="G253" s="85">
        <f t="shared" si="121"/>
        <v>4079393.2099999995</v>
      </c>
      <c r="H253" s="95">
        <f t="shared" si="121"/>
        <v>8752070.25</v>
      </c>
      <c r="I253" s="23"/>
      <c r="J253" s="23"/>
      <c r="K253" s="45">
        <f t="shared" si="122"/>
        <v>8757026.25</v>
      </c>
      <c r="L253" s="23">
        <f t="shared" si="122"/>
        <v>0</v>
      </c>
      <c r="M253" s="23">
        <f t="shared" si="122"/>
        <v>0</v>
      </c>
      <c r="N253" s="23">
        <f t="shared" si="122"/>
        <v>0</v>
      </c>
      <c r="O253" s="23">
        <f t="shared" si="122"/>
        <v>8757026.25</v>
      </c>
      <c r="P253" s="45">
        <f t="shared" si="122"/>
        <v>8752070.25</v>
      </c>
      <c r="Q253" s="23">
        <f t="shared" si="122"/>
        <v>0</v>
      </c>
      <c r="R253" s="23">
        <f t="shared" si="122"/>
        <v>0</v>
      </c>
      <c r="S253" s="23">
        <f t="shared" si="122"/>
        <v>0</v>
      </c>
      <c r="T253" s="23">
        <f t="shared" si="122"/>
        <v>8752070.25</v>
      </c>
      <c r="U253" s="45">
        <f t="shared" si="122"/>
        <v>5442575.0099999998</v>
      </c>
      <c r="V253" s="23">
        <f t="shared" si="122"/>
        <v>0</v>
      </c>
      <c r="W253" s="23">
        <f t="shared" si="122"/>
        <v>0</v>
      </c>
      <c r="X253" s="23">
        <f t="shared" si="122"/>
        <v>0</v>
      </c>
      <c r="Y253" s="23">
        <f t="shared" si="122"/>
        <v>5442575.0099999998</v>
      </c>
      <c r="Z253" s="45">
        <f t="shared" si="122"/>
        <v>-4955.9999999995343</v>
      </c>
      <c r="AA253" s="45">
        <f t="shared" si="122"/>
        <v>3307017.24</v>
      </c>
      <c r="AB253" s="56"/>
    </row>
    <row r="254" spans="1:29" ht="25.5" hidden="1" customHeight="1" x14ac:dyDescent="0.25">
      <c r="A254" s="21"/>
      <c r="B254" s="156" t="s">
        <v>195</v>
      </c>
      <c r="C254" s="59" t="s">
        <v>235</v>
      </c>
      <c r="D254" s="22"/>
      <c r="E254" s="23">
        <f t="shared" si="121"/>
        <v>198582</v>
      </c>
      <c r="F254" s="104">
        <f t="shared" si="121"/>
        <v>0</v>
      </c>
      <c r="G254" s="85">
        <f t="shared" si="121"/>
        <v>0</v>
      </c>
      <c r="H254" s="95">
        <f t="shared" si="121"/>
        <v>198582</v>
      </c>
      <c r="I254" s="23"/>
      <c r="J254" s="23"/>
      <c r="K254" s="45">
        <f t="shared" si="122"/>
        <v>198582</v>
      </c>
      <c r="L254" s="23">
        <f t="shared" si="122"/>
        <v>0</v>
      </c>
      <c r="M254" s="23">
        <f t="shared" si="122"/>
        <v>0</v>
      </c>
      <c r="N254" s="23">
        <f t="shared" si="122"/>
        <v>0</v>
      </c>
      <c r="O254" s="23">
        <f t="shared" si="122"/>
        <v>198582</v>
      </c>
      <c r="P254" s="45">
        <f t="shared" si="122"/>
        <v>198582</v>
      </c>
      <c r="Q254" s="23">
        <f t="shared" si="122"/>
        <v>0</v>
      </c>
      <c r="R254" s="23">
        <f t="shared" si="122"/>
        <v>0</v>
      </c>
      <c r="S254" s="23">
        <f t="shared" si="122"/>
        <v>0</v>
      </c>
      <c r="T254" s="23">
        <f t="shared" si="122"/>
        <v>198582</v>
      </c>
      <c r="U254" s="45">
        <f t="shared" si="122"/>
        <v>198582</v>
      </c>
      <c r="V254" s="23">
        <f t="shared" si="122"/>
        <v>0</v>
      </c>
      <c r="W254" s="23">
        <f t="shared" si="122"/>
        <v>0</v>
      </c>
      <c r="X254" s="23">
        <f t="shared" si="122"/>
        <v>0</v>
      </c>
      <c r="Y254" s="23">
        <f t="shared" si="122"/>
        <v>198582</v>
      </c>
      <c r="Z254" s="45">
        <f t="shared" si="122"/>
        <v>0</v>
      </c>
      <c r="AA254" s="45">
        <f t="shared" si="122"/>
        <v>0</v>
      </c>
      <c r="AB254" s="56"/>
    </row>
    <row r="255" spans="1:29" s="120" customFormat="1" ht="16.5" hidden="1" customHeight="1" x14ac:dyDescent="0.25">
      <c r="A255" s="118"/>
      <c r="B255" s="156" t="s">
        <v>194</v>
      </c>
      <c r="C255" s="59">
        <v>310</v>
      </c>
      <c r="D255" s="118"/>
      <c r="E255" s="58">
        <f>E115+E156</f>
        <v>13644403.93</v>
      </c>
      <c r="F255" s="103">
        <f>F115+F156</f>
        <v>0</v>
      </c>
      <c r="G255" s="84">
        <f>G115+G156</f>
        <v>0</v>
      </c>
      <c r="H255" s="95">
        <f>H115+H156</f>
        <v>13644403.93</v>
      </c>
      <c r="I255" s="118"/>
      <c r="J255" s="118"/>
      <c r="K255" s="45">
        <f t="shared" ref="K255:AB255" si="123">K115+K156</f>
        <v>9034640</v>
      </c>
      <c r="L255" s="23">
        <f t="shared" si="123"/>
        <v>5790903.4399999995</v>
      </c>
      <c r="M255" s="23">
        <f t="shared" si="123"/>
        <v>2537092.19</v>
      </c>
      <c r="N255" s="23">
        <f t="shared" si="123"/>
        <v>706644.37</v>
      </c>
      <c r="O255" s="23">
        <f t="shared" si="123"/>
        <v>0</v>
      </c>
      <c r="P255" s="58">
        <f t="shared" si="123"/>
        <v>13644403.93</v>
      </c>
      <c r="Q255" s="58">
        <f t="shared" si="123"/>
        <v>5790903.4399999995</v>
      </c>
      <c r="R255" s="58">
        <f t="shared" si="123"/>
        <v>2537092.19</v>
      </c>
      <c r="S255" s="58">
        <f t="shared" si="123"/>
        <v>706644.37</v>
      </c>
      <c r="T255" s="58">
        <f t="shared" si="123"/>
        <v>4609763.93</v>
      </c>
      <c r="U255" s="58">
        <f t="shared" si="123"/>
        <v>0</v>
      </c>
      <c r="V255" s="58">
        <f t="shared" si="123"/>
        <v>0</v>
      </c>
      <c r="W255" s="58">
        <f t="shared" si="123"/>
        <v>0</v>
      </c>
      <c r="X255" s="58">
        <f t="shared" si="123"/>
        <v>0</v>
      </c>
      <c r="Y255" s="58">
        <f t="shared" si="123"/>
        <v>0</v>
      </c>
      <c r="Z255" s="57">
        <f t="shared" si="123"/>
        <v>4609763.93</v>
      </c>
      <c r="AA255" s="57">
        <f t="shared" si="123"/>
        <v>5316408.3</v>
      </c>
      <c r="AB255" s="119">
        <f t="shared" si="123"/>
        <v>5316408.3</v>
      </c>
    </row>
    <row r="256" spans="1:29" s="120" customFormat="1" ht="16.5" hidden="1" customHeight="1" x14ac:dyDescent="0.25">
      <c r="A256" s="118"/>
      <c r="B256" s="156" t="s">
        <v>194</v>
      </c>
      <c r="C256" s="59">
        <v>226</v>
      </c>
      <c r="D256" s="118"/>
      <c r="E256" s="58"/>
      <c r="F256" s="103"/>
      <c r="G256" s="84"/>
      <c r="H256" s="95"/>
      <c r="I256" s="118"/>
      <c r="J256" s="118"/>
      <c r="K256" s="45"/>
      <c r="L256" s="23"/>
      <c r="M256" s="23"/>
      <c r="N256" s="23"/>
      <c r="O256" s="23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7"/>
      <c r="AA256" s="57"/>
      <c r="AB256" s="119"/>
    </row>
    <row r="257" spans="1:29" s="120" customFormat="1" ht="16.5" hidden="1" customHeight="1" x14ac:dyDescent="0.25">
      <c r="A257" s="118"/>
      <c r="B257" s="156" t="s">
        <v>286</v>
      </c>
      <c r="C257" s="59">
        <v>310</v>
      </c>
      <c r="D257" s="118"/>
      <c r="E257" s="58"/>
      <c r="F257" s="103"/>
      <c r="G257" s="84"/>
      <c r="H257" s="95"/>
      <c r="I257" s="118"/>
      <c r="J257" s="118"/>
      <c r="K257" s="45"/>
      <c r="L257" s="23"/>
      <c r="M257" s="23"/>
      <c r="N257" s="23"/>
      <c r="O257" s="23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7"/>
      <c r="AA257" s="57"/>
      <c r="AB257" s="119"/>
    </row>
    <row r="258" spans="1:29" s="120" customFormat="1" ht="16.5" hidden="1" customHeight="1" x14ac:dyDescent="0.25">
      <c r="A258" s="118"/>
      <c r="B258" s="156" t="s">
        <v>286</v>
      </c>
      <c r="C258" s="59">
        <v>226</v>
      </c>
      <c r="D258" s="118"/>
      <c r="E258" s="58"/>
      <c r="F258" s="103"/>
      <c r="G258" s="84"/>
      <c r="H258" s="95"/>
      <c r="I258" s="118"/>
      <c r="J258" s="118"/>
      <c r="K258" s="45"/>
      <c r="L258" s="23"/>
      <c r="M258" s="23"/>
      <c r="N258" s="23"/>
      <c r="O258" s="23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7"/>
      <c r="AA258" s="57"/>
      <c r="AB258" s="119"/>
    </row>
    <row r="259" spans="1:29" s="120" customFormat="1" ht="16.5" hidden="1" customHeight="1" x14ac:dyDescent="0.25">
      <c r="A259" s="118"/>
      <c r="B259" s="156" t="s">
        <v>307</v>
      </c>
      <c r="C259" s="59">
        <v>310</v>
      </c>
      <c r="D259" s="118"/>
      <c r="E259" s="58"/>
      <c r="F259" s="103"/>
      <c r="G259" s="84"/>
      <c r="H259" s="95"/>
      <c r="I259" s="118"/>
      <c r="J259" s="118"/>
      <c r="K259" s="45"/>
      <c r="L259" s="23"/>
      <c r="M259" s="23"/>
      <c r="N259" s="23"/>
      <c r="O259" s="23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7"/>
      <c r="AA259" s="57"/>
      <c r="AB259" s="119"/>
    </row>
    <row r="260" spans="1:29" s="120" customFormat="1" ht="16.5" hidden="1" customHeight="1" x14ac:dyDescent="0.25">
      <c r="A260" s="118"/>
      <c r="B260" s="156" t="s">
        <v>307</v>
      </c>
      <c r="C260" s="59">
        <v>226</v>
      </c>
      <c r="D260" s="118"/>
      <c r="E260" s="58"/>
      <c r="F260" s="103"/>
      <c r="G260" s="84"/>
      <c r="H260" s="95"/>
      <c r="I260" s="118"/>
      <c r="J260" s="118"/>
      <c r="K260" s="45"/>
      <c r="L260" s="23"/>
      <c r="M260" s="23"/>
      <c r="N260" s="23"/>
      <c r="O260" s="23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7"/>
      <c r="AA260" s="57"/>
      <c r="AB260" s="119"/>
    </row>
    <row r="261" spans="1:29" ht="19.5" customHeight="1" x14ac:dyDescent="0.25">
      <c r="A261" s="146"/>
      <c r="B261" s="155" t="s">
        <v>326</v>
      </c>
      <c r="C261" s="147"/>
      <c r="D261" s="148"/>
      <c r="E261" s="149"/>
      <c r="F261" s="150"/>
      <c r="G261" s="151"/>
      <c r="H261" s="152"/>
      <c r="I261" s="152"/>
      <c r="J261" s="152"/>
      <c r="K261" s="153"/>
      <c r="L261" s="152"/>
      <c r="M261" s="152"/>
      <c r="N261" s="152"/>
      <c r="O261" s="152"/>
      <c r="P261" s="153"/>
      <c r="Q261" s="152"/>
      <c r="R261" s="152"/>
      <c r="S261" s="152"/>
      <c r="T261" s="152"/>
      <c r="U261" s="154"/>
      <c r="V261" s="152"/>
      <c r="W261" s="152"/>
      <c r="X261" s="152"/>
      <c r="Y261" s="152"/>
      <c r="Z261" s="152"/>
      <c r="AA261" s="152"/>
      <c r="AB261" s="50"/>
      <c r="AC261" s="49"/>
    </row>
    <row r="262" spans="1:29" ht="19.5" customHeight="1" x14ac:dyDescent="0.25">
      <c r="A262" s="145"/>
      <c r="B262" s="22" t="s">
        <v>327</v>
      </c>
      <c r="C262" s="183"/>
      <c r="D262" s="187" t="s">
        <v>328</v>
      </c>
      <c r="E262" s="184"/>
      <c r="F262" s="104"/>
      <c r="G262" s="85"/>
      <c r="H262" s="185"/>
      <c r="I262" s="185"/>
      <c r="J262" s="185"/>
      <c r="K262" s="186"/>
      <c r="L262" s="185"/>
      <c r="M262" s="185"/>
      <c r="N262" s="185"/>
      <c r="O262" s="185"/>
      <c r="P262" s="186"/>
      <c r="Q262" s="185"/>
      <c r="R262" s="185"/>
      <c r="S262" s="185"/>
      <c r="T262" s="185"/>
      <c r="U262" s="94"/>
      <c r="V262" s="185"/>
      <c r="W262" s="185"/>
      <c r="X262" s="185"/>
      <c r="Y262" s="185"/>
      <c r="Z262" s="185"/>
      <c r="AA262" s="185"/>
      <c r="AB262" s="50"/>
      <c r="AC262" s="49"/>
    </row>
    <row r="263" spans="1:29" s="120" customFormat="1" ht="16.5" customHeight="1" x14ac:dyDescent="0.25">
      <c r="A263" s="118"/>
      <c r="B263" s="156" t="s">
        <v>194</v>
      </c>
      <c r="C263" s="59">
        <v>310</v>
      </c>
      <c r="D263" s="187" t="s">
        <v>328</v>
      </c>
      <c r="E263" s="58"/>
      <c r="F263" s="103">
        <f>F122+F163</f>
        <v>0</v>
      </c>
      <c r="G263" s="84">
        <f>G122+G163</f>
        <v>0</v>
      </c>
      <c r="H263" s="95"/>
      <c r="I263" s="118"/>
      <c r="J263" s="118"/>
      <c r="K263" s="45"/>
      <c r="L263" s="23"/>
      <c r="M263" s="23"/>
      <c r="N263" s="23"/>
      <c r="O263" s="23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7"/>
      <c r="AA263" s="57"/>
      <c r="AB263" s="119">
        <f>AB122+AB163</f>
        <v>0</v>
      </c>
    </row>
    <row r="264" spans="1:29" s="120" customFormat="1" ht="16.5" customHeight="1" x14ac:dyDescent="0.25">
      <c r="A264" s="118"/>
      <c r="B264" s="156" t="s">
        <v>194</v>
      </c>
      <c r="C264" s="59">
        <v>226</v>
      </c>
      <c r="D264" s="187" t="s">
        <v>328</v>
      </c>
      <c r="E264" s="58"/>
      <c r="F264" s="103"/>
      <c r="G264" s="84"/>
      <c r="H264" s="95"/>
      <c r="I264" s="118"/>
      <c r="J264" s="118"/>
      <c r="K264" s="45"/>
      <c r="L264" s="23"/>
      <c r="M264" s="23"/>
      <c r="N264" s="23"/>
      <c r="O264" s="23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7"/>
      <c r="AA264" s="57"/>
      <c r="AB264" s="119"/>
    </row>
    <row r="265" spans="1:29" s="120" customFormat="1" ht="16.5" customHeight="1" x14ac:dyDescent="0.25">
      <c r="A265" s="118"/>
      <c r="B265" s="156" t="s">
        <v>286</v>
      </c>
      <c r="C265" s="59">
        <v>310</v>
      </c>
      <c r="D265" s="187" t="s">
        <v>328</v>
      </c>
      <c r="E265" s="58"/>
      <c r="F265" s="103"/>
      <c r="G265" s="84"/>
      <c r="H265" s="95"/>
      <c r="I265" s="118"/>
      <c r="J265" s="118"/>
      <c r="K265" s="45"/>
      <c r="L265" s="23"/>
      <c r="M265" s="23"/>
      <c r="N265" s="23"/>
      <c r="O265" s="23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7"/>
      <c r="AA265" s="57"/>
      <c r="AB265" s="119"/>
    </row>
    <row r="266" spans="1:29" s="120" customFormat="1" ht="16.5" customHeight="1" x14ac:dyDescent="0.25">
      <c r="A266" s="118"/>
      <c r="B266" s="156" t="s">
        <v>286</v>
      </c>
      <c r="C266" s="59">
        <v>226</v>
      </c>
      <c r="D266" s="187" t="s">
        <v>328</v>
      </c>
      <c r="E266" s="58"/>
      <c r="F266" s="103"/>
      <c r="G266" s="84"/>
      <c r="H266" s="95"/>
      <c r="I266" s="118"/>
      <c r="J266" s="118"/>
      <c r="K266" s="45"/>
      <c r="L266" s="23"/>
      <c r="M266" s="23"/>
      <c r="N266" s="23"/>
      <c r="O266" s="23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7"/>
      <c r="AA266" s="57"/>
      <c r="AB266" s="119"/>
    </row>
    <row r="267" spans="1:29" s="120" customFormat="1" ht="16.5" customHeight="1" x14ac:dyDescent="0.25">
      <c r="A267" s="118"/>
      <c r="B267" s="156" t="s">
        <v>307</v>
      </c>
      <c r="C267" s="59">
        <v>310</v>
      </c>
      <c r="D267" s="187" t="s">
        <v>328</v>
      </c>
      <c r="E267" s="58"/>
      <c r="F267" s="103"/>
      <c r="G267" s="84"/>
      <c r="H267" s="95"/>
      <c r="I267" s="118"/>
      <c r="J267" s="118"/>
      <c r="K267" s="45"/>
      <c r="L267" s="23"/>
      <c r="M267" s="23"/>
      <c r="N267" s="23"/>
      <c r="O267" s="23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7"/>
      <c r="AA267" s="57"/>
      <c r="AB267" s="119"/>
    </row>
    <row r="268" spans="1:29" s="120" customFormat="1" ht="16.5" customHeight="1" x14ac:dyDescent="0.25">
      <c r="A268" s="118"/>
      <c r="B268" s="156" t="s">
        <v>307</v>
      </c>
      <c r="C268" s="59">
        <v>226</v>
      </c>
      <c r="D268" s="187" t="s">
        <v>328</v>
      </c>
      <c r="E268" s="58"/>
      <c r="F268" s="103"/>
      <c r="G268" s="84"/>
      <c r="H268" s="95"/>
      <c r="I268" s="118"/>
      <c r="J268" s="118"/>
      <c r="K268" s="45"/>
      <c r="L268" s="23"/>
      <c r="M268" s="23"/>
      <c r="N268" s="23"/>
      <c r="O268" s="23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7"/>
      <c r="AA268" s="57"/>
      <c r="AB268" s="119"/>
    </row>
    <row r="269" spans="1:29" ht="19.5" customHeight="1" x14ac:dyDescent="0.25">
      <c r="A269" s="146"/>
      <c r="B269" s="155"/>
      <c r="C269" s="147"/>
      <c r="D269" s="148"/>
      <c r="E269" s="149"/>
      <c r="F269" s="150"/>
      <c r="G269" s="151"/>
      <c r="H269" s="152"/>
      <c r="I269" s="152"/>
      <c r="J269" s="152"/>
      <c r="K269" s="153"/>
      <c r="L269" s="152"/>
      <c r="M269" s="152"/>
      <c r="N269" s="152"/>
      <c r="O269" s="152"/>
      <c r="P269" s="153"/>
      <c r="Q269" s="152"/>
      <c r="R269" s="152"/>
      <c r="S269" s="152"/>
      <c r="T269" s="152"/>
      <c r="U269" s="154"/>
      <c r="V269" s="152"/>
      <c r="W269" s="152"/>
      <c r="X269" s="152"/>
      <c r="Y269" s="152"/>
      <c r="Z269" s="152"/>
      <c r="AA269" s="152"/>
      <c r="AB269" s="50"/>
      <c r="AC269" s="49"/>
    </row>
    <row r="270" spans="1:29" x14ac:dyDescent="0.25">
      <c r="A270" s="34"/>
      <c r="B270" s="22" t="s">
        <v>245</v>
      </c>
      <c r="C270" s="34"/>
      <c r="D270" s="34"/>
      <c r="E270" s="7">
        <f>SUM(E271:E273)</f>
        <v>817910297.55000007</v>
      </c>
      <c r="F270" s="7">
        <f>SUM(F271:F273)</f>
        <v>1656913.57</v>
      </c>
      <c r="G270" s="7">
        <f>SUM(G271:G273)</f>
        <v>84960649.820000008</v>
      </c>
      <c r="H270" s="7">
        <f>SUM(H271:H273)</f>
        <v>731292734.15999997</v>
      </c>
      <c r="I270" s="7"/>
      <c r="J270" s="7"/>
      <c r="K270" s="7">
        <f t="shared" ref="K270:AA270" si="124">SUM(K271:K273)</f>
        <v>663711144.51000011</v>
      </c>
      <c r="L270" s="7">
        <f t="shared" si="124"/>
        <v>135806164.05000001</v>
      </c>
      <c r="M270" s="7">
        <f t="shared" si="124"/>
        <v>223658138.71999997</v>
      </c>
      <c r="N270" s="7">
        <f t="shared" si="124"/>
        <v>28301827.140000004</v>
      </c>
      <c r="O270" s="7">
        <f t="shared" si="124"/>
        <v>275945014.60000002</v>
      </c>
      <c r="P270" s="7">
        <f t="shared" si="124"/>
        <v>723085186.02999985</v>
      </c>
      <c r="Q270" s="7">
        <f t="shared" si="124"/>
        <v>135094097.72</v>
      </c>
      <c r="R270" s="7">
        <f t="shared" si="124"/>
        <v>221936711.07999995</v>
      </c>
      <c r="S270" s="7">
        <f t="shared" si="124"/>
        <v>34576058.210000001</v>
      </c>
      <c r="T270" s="7">
        <f t="shared" si="124"/>
        <v>331478319.02000004</v>
      </c>
      <c r="U270" s="7">
        <f t="shared" si="124"/>
        <v>230791576.51999998</v>
      </c>
      <c r="V270" s="7">
        <f t="shared" si="124"/>
        <v>66080651.480000004</v>
      </c>
      <c r="W270" s="7">
        <f t="shared" si="124"/>
        <v>123704410.88</v>
      </c>
      <c r="X270" s="7">
        <f t="shared" si="124"/>
        <v>17757961.469999999</v>
      </c>
      <c r="Y270" s="7">
        <f t="shared" si="124"/>
        <v>23248552.689999998</v>
      </c>
      <c r="Z270" s="7">
        <f t="shared" si="124"/>
        <v>61807535.489999995</v>
      </c>
      <c r="AA270" s="7">
        <f t="shared" si="124"/>
        <v>325045385.06999999</v>
      </c>
    </row>
    <row r="271" spans="1:29" x14ac:dyDescent="0.25">
      <c r="A271" s="34"/>
      <c r="B271" s="22" t="s">
        <v>193</v>
      </c>
      <c r="C271" s="34"/>
      <c r="D271" s="34"/>
      <c r="E271" s="7">
        <f>E250+E251</f>
        <v>659906341.67000008</v>
      </c>
      <c r="F271" s="7">
        <f>F250+F251</f>
        <v>1656913.57</v>
      </c>
      <c r="G271" s="7">
        <f>G250+G251</f>
        <v>80881256.610000014</v>
      </c>
      <c r="H271" s="7">
        <f>H250+H251</f>
        <v>577368171.49000001</v>
      </c>
      <c r="I271" s="7"/>
      <c r="J271" s="7"/>
      <c r="K271" s="7">
        <f t="shared" ref="K271:AA271" si="125">K250+K251</f>
        <v>570395471.93000007</v>
      </c>
      <c r="L271" s="7">
        <f t="shared" si="125"/>
        <v>82216230.189999998</v>
      </c>
      <c r="M271" s="7">
        <f t="shared" si="125"/>
        <v>198753355.67999998</v>
      </c>
      <c r="N271" s="7">
        <f t="shared" si="125"/>
        <v>22436479.710000001</v>
      </c>
      <c r="O271" s="7">
        <f t="shared" si="125"/>
        <v>266989406.35000002</v>
      </c>
      <c r="P271" s="7">
        <f t="shared" si="125"/>
        <v>569160623.3599999</v>
      </c>
      <c r="Q271" s="7">
        <f t="shared" si="125"/>
        <v>81504163.859999999</v>
      </c>
      <c r="R271" s="7">
        <f t="shared" si="125"/>
        <v>197031928.03999996</v>
      </c>
      <c r="S271" s="7">
        <f t="shared" si="125"/>
        <v>23635125.109999999</v>
      </c>
      <c r="T271" s="7">
        <f t="shared" si="125"/>
        <v>266989406.35000002</v>
      </c>
      <c r="U271" s="7">
        <f t="shared" si="125"/>
        <v>194040037.13</v>
      </c>
      <c r="V271" s="7">
        <f t="shared" si="125"/>
        <v>47585285.390000001</v>
      </c>
      <c r="W271" s="7">
        <f t="shared" si="125"/>
        <v>115049452.25</v>
      </c>
      <c r="X271" s="7">
        <f t="shared" si="125"/>
        <v>13797903.810000001</v>
      </c>
      <c r="Y271" s="7">
        <f t="shared" si="125"/>
        <v>17607395.68</v>
      </c>
      <c r="Z271" s="7">
        <f t="shared" si="125"/>
        <v>1198645.4000000004</v>
      </c>
      <c r="AA271" s="7">
        <f t="shared" si="125"/>
        <v>259219231.97</v>
      </c>
    </row>
    <row r="272" spans="1:29" x14ac:dyDescent="0.25">
      <c r="A272" s="34"/>
      <c r="B272" s="22" t="s">
        <v>195</v>
      </c>
      <c r="C272" s="34"/>
      <c r="D272" s="34"/>
      <c r="E272" s="7">
        <f>E252+E253+E254</f>
        <v>144359551.95000002</v>
      </c>
      <c r="F272" s="7">
        <f>F252+F253+F254</f>
        <v>0</v>
      </c>
      <c r="G272" s="7">
        <f>G252+G253+G254</f>
        <v>4079393.2099999995</v>
      </c>
      <c r="H272" s="7">
        <f>H252+H253+H254</f>
        <v>140280158.74000001</v>
      </c>
      <c r="I272" s="7"/>
      <c r="J272" s="7"/>
      <c r="K272" s="7">
        <f t="shared" ref="K272:AA272" si="126">K252+K253+K254</f>
        <v>84281032.579999998</v>
      </c>
      <c r="L272" s="7">
        <f t="shared" si="126"/>
        <v>47799030.420000002</v>
      </c>
      <c r="M272" s="7">
        <f t="shared" si="126"/>
        <v>22367690.850000001</v>
      </c>
      <c r="N272" s="7">
        <f t="shared" si="126"/>
        <v>5158703.0600000005</v>
      </c>
      <c r="O272" s="7">
        <f t="shared" si="126"/>
        <v>8955608.25</v>
      </c>
      <c r="P272" s="7">
        <f t="shared" si="126"/>
        <v>140280158.74000001</v>
      </c>
      <c r="Q272" s="7">
        <f t="shared" si="126"/>
        <v>47799030.420000002</v>
      </c>
      <c r="R272" s="7">
        <f t="shared" si="126"/>
        <v>22367690.850000001</v>
      </c>
      <c r="S272" s="7">
        <f t="shared" si="126"/>
        <v>10234288.73</v>
      </c>
      <c r="T272" s="7">
        <f t="shared" si="126"/>
        <v>59879148.739999995</v>
      </c>
      <c r="U272" s="7">
        <f t="shared" si="126"/>
        <v>36751539.390000001</v>
      </c>
      <c r="V272" s="7">
        <f t="shared" si="126"/>
        <v>18495366.09</v>
      </c>
      <c r="W272" s="7">
        <f t="shared" si="126"/>
        <v>8654958.629999999</v>
      </c>
      <c r="X272" s="7">
        <f t="shared" si="126"/>
        <v>3960057.6599999997</v>
      </c>
      <c r="Y272" s="7">
        <f t="shared" si="126"/>
        <v>5641157.0099999998</v>
      </c>
      <c r="Z272" s="7">
        <f t="shared" si="126"/>
        <v>55999126.159999996</v>
      </c>
      <c r="AA272" s="7">
        <f t="shared" si="126"/>
        <v>60509744.800000004</v>
      </c>
    </row>
    <row r="273" spans="1:27" x14ac:dyDescent="0.25">
      <c r="A273" s="34"/>
      <c r="B273" s="22" t="s">
        <v>246</v>
      </c>
      <c r="C273" s="34"/>
      <c r="D273" s="34"/>
      <c r="E273" s="7">
        <f>E255</f>
        <v>13644403.93</v>
      </c>
      <c r="F273" s="7">
        <f>F255</f>
        <v>0</v>
      </c>
      <c r="G273" s="7">
        <f>G255</f>
        <v>0</v>
      </c>
      <c r="H273" s="7">
        <f>H255</f>
        <v>13644403.93</v>
      </c>
      <c r="I273" s="7"/>
      <c r="J273" s="7"/>
      <c r="K273" s="7">
        <f t="shared" ref="K273:AA273" si="127">K255</f>
        <v>9034640</v>
      </c>
      <c r="L273" s="7">
        <f t="shared" si="127"/>
        <v>5790903.4399999995</v>
      </c>
      <c r="M273" s="7">
        <f t="shared" si="127"/>
        <v>2537092.19</v>
      </c>
      <c r="N273" s="7">
        <f t="shared" si="127"/>
        <v>706644.37</v>
      </c>
      <c r="O273" s="7">
        <f t="shared" si="127"/>
        <v>0</v>
      </c>
      <c r="P273" s="7">
        <f t="shared" si="127"/>
        <v>13644403.93</v>
      </c>
      <c r="Q273" s="7">
        <f t="shared" si="127"/>
        <v>5790903.4399999995</v>
      </c>
      <c r="R273" s="7">
        <f t="shared" si="127"/>
        <v>2537092.19</v>
      </c>
      <c r="S273" s="7">
        <f t="shared" si="127"/>
        <v>706644.37</v>
      </c>
      <c r="T273" s="7">
        <f t="shared" si="127"/>
        <v>4609763.93</v>
      </c>
      <c r="U273" s="7">
        <f t="shared" si="127"/>
        <v>0</v>
      </c>
      <c r="V273" s="7">
        <f t="shared" si="127"/>
        <v>0</v>
      </c>
      <c r="W273" s="7">
        <f t="shared" si="127"/>
        <v>0</v>
      </c>
      <c r="X273" s="7">
        <f t="shared" si="127"/>
        <v>0</v>
      </c>
      <c r="Y273" s="7">
        <f t="shared" si="127"/>
        <v>0</v>
      </c>
      <c r="Z273" s="7">
        <f t="shared" si="127"/>
        <v>4609763.93</v>
      </c>
      <c r="AA273" s="7">
        <f t="shared" si="127"/>
        <v>5316408.3</v>
      </c>
    </row>
    <row r="274" spans="1:27" x14ac:dyDescent="0.25">
      <c r="A274" s="34"/>
      <c r="B274" s="22"/>
      <c r="C274" s="34"/>
      <c r="D274" s="3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x14ac:dyDescent="0.25">
      <c r="A275" s="34"/>
      <c r="B275" s="22"/>
      <c r="C275" s="34"/>
      <c r="D275" s="3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x14ac:dyDescent="0.25">
      <c r="A276" s="34"/>
      <c r="B276" s="22"/>
      <c r="C276" s="34"/>
      <c r="D276" s="3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x14ac:dyDescent="0.25">
      <c r="A277" s="34"/>
      <c r="B277" s="22"/>
      <c r="C277" s="34"/>
      <c r="D277" s="3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x14ac:dyDescent="0.25">
      <c r="A278" s="34"/>
      <c r="B278" s="22" t="s">
        <v>245</v>
      </c>
      <c r="C278" s="34"/>
      <c r="D278" s="34"/>
      <c r="E278" s="34"/>
      <c r="F278" s="97"/>
      <c r="G278" s="80"/>
      <c r="H278" s="7"/>
      <c r="I278" s="7"/>
      <c r="J278" s="7"/>
      <c r="K278" s="7"/>
      <c r="L278" s="7">
        <f t="shared" ref="L278:O281" si="128">Q270-L270</f>
        <v>-712066.33000001311</v>
      </c>
      <c r="M278" s="7">
        <f t="shared" si="128"/>
        <v>-1721427.6400000155</v>
      </c>
      <c r="N278" s="7">
        <f t="shared" si="128"/>
        <v>6274231.0699999966</v>
      </c>
      <c r="O278" s="7">
        <f t="shared" si="128"/>
        <v>55533304.420000017</v>
      </c>
      <c r="P278" s="7">
        <f>N278+O278</f>
        <v>61807535.49000001</v>
      </c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x14ac:dyDescent="0.25">
      <c r="A279" s="34"/>
      <c r="B279" s="22" t="s">
        <v>193</v>
      </c>
      <c r="C279" s="34"/>
      <c r="D279" s="34"/>
      <c r="E279" s="34"/>
      <c r="F279" s="97"/>
      <c r="G279" s="80"/>
      <c r="H279" s="87"/>
      <c r="I279" s="34"/>
      <c r="J279" s="34"/>
      <c r="K279" s="7"/>
      <c r="L279" s="7">
        <f t="shared" si="128"/>
        <v>-712066.32999999821</v>
      </c>
      <c r="M279" s="7">
        <f t="shared" si="128"/>
        <v>-1721427.6400000155</v>
      </c>
      <c r="N279" s="7">
        <f t="shared" si="128"/>
        <v>1198645.3999999985</v>
      </c>
      <c r="O279" s="7">
        <f t="shared" si="128"/>
        <v>0</v>
      </c>
      <c r="P279" s="7">
        <f>N279+O279</f>
        <v>1198645.3999999985</v>
      </c>
      <c r="Q279" s="34"/>
      <c r="R279" s="34"/>
      <c r="S279" s="34"/>
      <c r="T279" s="34"/>
      <c r="U279" s="38"/>
      <c r="V279" s="34"/>
      <c r="W279" s="34"/>
      <c r="X279" s="34"/>
      <c r="Y279" s="34"/>
      <c r="Z279" s="34"/>
      <c r="AA279" s="34"/>
    </row>
    <row r="280" spans="1:27" x14ac:dyDescent="0.25">
      <c r="A280" s="34"/>
      <c r="B280" s="22" t="s">
        <v>195</v>
      </c>
      <c r="C280" s="34"/>
      <c r="D280" s="34"/>
      <c r="E280" s="34"/>
      <c r="F280" s="97"/>
      <c r="G280" s="80"/>
      <c r="H280" s="87"/>
      <c r="I280" s="34"/>
      <c r="J280" s="34"/>
      <c r="K280" s="7"/>
      <c r="L280" s="7">
        <f t="shared" si="128"/>
        <v>0</v>
      </c>
      <c r="M280" s="7">
        <f t="shared" si="128"/>
        <v>0</v>
      </c>
      <c r="N280" s="7">
        <f t="shared" si="128"/>
        <v>5075585.67</v>
      </c>
      <c r="O280" s="7">
        <f t="shared" si="128"/>
        <v>50923540.489999995</v>
      </c>
      <c r="P280" s="7">
        <f>N280+O280</f>
        <v>55999126.159999996</v>
      </c>
      <c r="Q280" s="34"/>
      <c r="R280" s="34"/>
      <c r="S280" s="34"/>
      <c r="T280" s="34"/>
      <c r="U280" s="38"/>
      <c r="V280" s="34"/>
      <c r="W280" s="34"/>
      <c r="X280" s="34"/>
      <c r="Y280" s="34"/>
      <c r="Z280" s="34"/>
      <c r="AA280" s="34"/>
    </row>
    <row r="281" spans="1:27" x14ac:dyDescent="0.25">
      <c r="A281" s="34"/>
      <c r="B281" s="22" t="s">
        <v>246</v>
      </c>
      <c r="C281" s="34"/>
      <c r="D281" s="34"/>
      <c r="E281" s="34"/>
      <c r="F281" s="97"/>
      <c r="G281" s="80"/>
      <c r="H281" s="87"/>
      <c r="I281" s="34"/>
      <c r="J281" s="34"/>
      <c r="K281" s="7"/>
      <c r="L281" s="7">
        <f t="shared" si="128"/>
        <v>0</v>
      </c>
      <c r="M281" s="7">
        <f t="shared" si="128"/>
        <v>0</v>
      </c>
      <c r="N281" s="7">
        <f t="shared" si="128"/>
        <v>0</v>
      </c>
      <c r="O281" s="7">
        <f t="shared" si="128"/>
        <v>4609763.93</v>
      </c>
      <c r="P281" s="7">
        <f>N281+O281</f>
        <v>4609763.93</v>
      </c>
      <c r="Q281" s="34"/>
      <c r="R281" s="34"/>
      <c r="S281" s="34"/>
      <c r="T281" s="34"/>
      <c r="U281" s="38"/>
      <c r="V281" s="34"/>
      <c r="W281" s="34"/>
      <c r="X281" s="34"/>
      <c r="Y281" s="34"/>
      <c r="Z281" s="34"/>
      <c r="AA281" s="34"/>
    </row>
    <row r="282" spans="1:27" x14ac:dyDescent="0.25">
      <c r="K282" s="67"/>
      <c r="L282" s="67"/>
      <c r="M282" s="67"/>
      <c r="N282" s="67"/>
      <c r="O282" s="67"/>
    </row>
  </sheetData>
  <autoFilter ref="A5:AC255"/>
  <mergeCells count="42">
    <mergeCell ref="A1:AA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AA3:AA4"/>
    <mergeCell ref="AB3:AB4"/>
    <mergeCell ref="Q3:Q4"/>
    <mergeCell ref="R3:R4"/>
    <mergeCell ref="S3:S4"/>
    <mergeCell ref="T3:T4"/>
    <mergeCell ref="U3:U4"/>
    <mergeCell ref="V3:V4"/>
    <mergeCell ref="A110:B110"/>
    <mergeCell ref="W3:W4"/>
    <mergeCell ref="X3:X4"/>
    <mergeCell ref="Y3:Y4"/>
    <mergeCell ref="Z3:Z4"/>
    <mergeCell ref="K3:K4"/>
    <mergeCell ref="L3:L4"/>
    <mergeCell ref="M3:M4"/>
    <mergeCell ref="N3:N4"/>
    <mergeCell ref="O3:O4"/>
    <mergeCell ref="P3:P4"/>
    <mergeCell ref="A6:C6"/>
    <mergeCell ref="C34:C36"/>
    <mergeCell ref="D34:D36"/>
    <mergeCell ref="C94:C96"/>
    <mergeCell ref="D94:D96"/>
    <mergeCell ref="C202:C204"/>
    <mergeCell ref="D202:D204"/>
    <mergeCell ref="A111:B111"/>
    <mergeCell ref="A116:C116"/>
    <mergeCell ref="D133:D135"/>
    <mergeCell ref="A150:B150"/>
    <mergeCell ref="A151:B151"/>
    <mergeCell ref="A157:C157"/>
  </mergeCells>
  <pageMargins left="0.39370078740157483" right="0.39370078740157483" top="0.39370078740157483" bottom="0.3937007874015748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E16" sqref="E16"/>
    </sheetView>
  </sheetViews>
  <sheetFormatPr defaultColWidth="9.140625" defaultRowHeight="15" x14ac:dyDescent="0.25"/>
  <cols>
    <col min="1" max="3" width="9.140625" style="170"/>
    <col min="4" max="4" width="16.5703125" style="170" customWidth="1"/>
    <col min="5" max="5" width="13.7109375" style="170" bestFit="1" customWidth="1"/>
    <col min="6" max="6" width="14.42578125" style="170" customWidth="1"/>
    <col min="7" max="7" width="13.28515625" style="170" customWidth="1"/>
    <col min="8" max="8" width="12.42578125" style="170" customWidth="1"/>
    <col min="9" max="9" width="12.28515625" style="170" bestFit="1" customWidth="1"/>
    <col min="10" max="10" width="12.7109375" style="170" customWidth="1"/>
    <col min="11" max="12" width="12.5703125" style="170" bestFit="1" customWidth="1"/>
    <col min="13" max="13" width="13.7109375" style="170" bestFit="1" customWidth="1"/>
    <col min="14" max="16384" width="9.140625" style="170"/>
  </cols>
  <sheetData>
    <row r="2" spans="1:13" ht="30" x14ac:dyDescent="0.25">
      <c r="B2" s="171" t="s">
        <v>320</v>
      </c>
      <c r="C2" s="171" t="s">
        <v>321</v>
      </c>
    </row>
    <row r="3" spans="1:13" x14ac:dyDescent="0.25">
      <c r="A3" s="170" t="s">
        <v>319</v>
      </c>
      <c r="B3" s="170">
        <v>5736.21</v>
      </c>
      <c r="C3" s="170" t="e">
        <f>#REF!+#REF!+#REF!</f>
        <v>#REF!</v>
      </c>
      <c r="D3" s="170" t="e">
        <f>B3-C3</f>
        <v>#REF!</v>
      </c>
      <c r="G3" s="170">
        <v>10281.200000000001</v>
      </c>
      <c r="H3" s="170">
        <v>11162.53</v>
      </c>
    </row>
    <row r="4" spans="1:13" x14ac:dyDescent="0.25">
      <c r="B4" s="174">
        <f>B3*1.09</f>
        <v>6252.4689000000008</v>
      </c>
      <c r="G4" s="173">
        <v>1</v>
      </c>
      <c r="H4" s="173">
        <f>G4*H3/G3</f>
        <v>1.0857224837567598</v>
      </c>
    </row>
    <row r="5" spans="1:13" x14ac:dyDescent="0.25">
      <c r="C5" s="170">
        <v>2535.61</v>
      </c>
      <c r="D5" s="170">
        <f>C5*1.0819</f>
        <v>2743.2764590000002</v>
      </c>
      <c r="E5" s="170">
        <f>D5*1.09</f>
        <v>2990.1713403100002</v>
      </c>
    </row>
    <row r="6" spans="1:13" x14ac:dyDescent="0.25">
      <c r="C6" s="170">
        <v>1332.6</v>
      </c>
      <c r="D6" s="170">
        <f>C6*1.0818</f>
        <v>1441.6066800000001</v>
      </c>
      <c r="E6" s="170">
        <f>D6*1.09</f>
        <v>1571.3512812000001</v>
      </c>
    </row>
    <row r="7" spans="1:13" x14ac:dyDescent="0.25">
      <c r="C7" s="170">
        <v>1435.3</v>
      </c>
      <c r="D7" s="170">
        <f>C7*1.081</f>
        <v>1551.5592999999999</v>
      </c>
      <c r="E7" s="170">
        <f>D7*1.09</f>
        <v>1691.1996369999999</v>
      </c>
    </row>
    <row r="8" spans="1:13" x14ac:dyDescent="0.25">
      <c r="D8" s="170">
        <f>SUM(D5:D7)</f>
        <v>5736.4424390000004</v>
      </c>
      <c r="E8" s="170">
        <f>B3-D8</f>
        <v>-0.23243900000034046</v>
      </c>
    </row>
    <row r="9" spans="1:13" x14ac:dyDescent="0.25">
      <c r="B9" s="173">
        <v>1</v>
      </c>
      <c r="C9" s="173" t="e">
        <f>B9*C3/B3</f>
        <v>#REF!</v>
      </c>
      <c r="G9" s="170">
        <f>G11*H11</f>
        <v>-13266935.000000006</v>
      </c>
      <c r="H9" s="170">
        <v>7493512.9499999993</v>
      </c>
      <c r="I9" s="170">
        <f>G9+H9</f>
        <v>-5773422.0500000063</v>
      </c>
    </row>
    <row r="10" spans="1:13" x14ac:dyDescent="0.25">
      <c r="D10" s="174">
        <f>D5+E8</f>
        <v>2743.0440199999998</v>
      </c>
      <c r="E10" s="170">
        <f>D10*1.09</f>
        <v>2989.9179818000002</v>
      </c>
      <c r="H10" s="170">
        <v>36430</v>
      </c>
    </row>
    <row r="11" spans="1:13" x14ac:dyDescent="0.25">
      <c r="C11" s="170">
        <f>D11+221.3*1.09</f>
        <v>1682.8236800000002</v>
      </c>
      <c r="D11" s="174">
        <f>D6</f>
        <v>1441.6066800000001</v>
      </c>
      <c r="E11" s="170">
        <f>D11*1.09</f>
        <v>1571.3512812000001</v>
      </c>
      <c r="F11" s="170">
        <f>E11+221.3*1.09</f>
        <v>1812.5682812000002</v>
      </c>
      <c r="G11" s="170">
        <f>E11-F11</f>
        <v>-241.2170000000001</v>
      </c>
      <c r="H11" s="170">
        <v>55000</v>
      </c>
    </row>
    <row r="12" spans="1:13" x14ac:dyDescent="0.25">
      <c r="D12" s="174">
        <f>D7</f>
        <v>1551.5592999999999</v>
      </c>
      <c r="E12" s="170">
        <f>D12*1.09</f>
        <v>1691.1996369999999</v>
      </c>
    </row>
    <row r="13" spans="1:13" x14ac:dyDescent="0.25">
      <c r="D13" s="174">
        <f>SUM(D10:D12)</f>
        <v>5736.21</v>
      </c>
      <c r="E13" s="170">
        <f>SUM(E10:E12)</f>
        <v>6252.4688999999998</v>
      </c>
    </row>
    <row r="14" spans="1:13" x14ac:dyDescent="0.25">
      <c r="E14" s="170" t="s">
        <v>323</v>
      </c>
      <c r="F14" s="170" t="s">
        <v>324</v>
      </c>
      <c r="G14" s="170" t="s">
        <v>325</v>
      </c>
    </row>
    <row r="15" spans="1:13" x14ac:dyDescent="0.25">
      <c r="D15" s="175">
        <f>D13*36430</f>
        <v>208970130.30000001</v>
      </c>
      <c r="E15" s="174">
        <f>D10*H10</f>
        <v>99929093.648599997</v>
      </c>
      <c r="F15" s="174">
        <f>D11*H10</f>
        <v>52517731.352400005</v>
      </c>
      <c r="G15" s="174">
        <f>D12*H10</f>
        <v>56523305.298999995</v>
      </c>
    </row>
    <row r="16" spans="1:13" x14ac:dyDescent="0.25">
      <c r="C16" s="170" t="s">
        <v>187</v>
      </c>
      <c r="D16" s="174">
        <v>126828317.75</v>
      </c>
      <c r="E16" s="174">
        <f>E15*H16%</f>
        <v>60649045.026384555</v>
      </c>
      <c r="F16" s="174">
        <f>F15*H16%</f>
        <v>31874103.29844315</v>
      </c>
      <c r="G16" s="174">
        <f>G15*H16%</f>
        <v>34305169.425172292</v>
      </c>
      <c r="H16" s="170">
        <f>D16*100/D15</f>
        <v>60.692079565593303</v>
      </c>
      <c r="J16" s="174">
        <v>60649045.020000003</v>
      </c>
      <c r="K16" s="174">
        <v>31874103.300000001</v>
      </c>
      <c r="L16" s="174">
        <v>34305169.43</v>
      </c>
      <c r="M16" s="170">
        <f>J16+K16+L16</f>
        <v>126828317.75</v>
      </c>
    </row>
    <row r="17" spans="3:13" x14ac:dyDescent="0.25">
      <c r="C17" s="170" t="s">
        <v>188</v>
      </c>
      <c r="D17" s="174">
        <v>27779138.23</v>
      </c>
      <c r="E17" s="174">
        <f>E15*H17%</f>
        <v>13283927.715783572</v>
      </c>
      <c r="F17" s="174">
        <f>F15*H17%</f>
        <v>6981367.7039389033</v>
      </c>
      <c r="G17" s="174">
        <f>G15*H17%</f>
        <v>7513842.8102775235</v>
      </c>
      <c r="H17" s="170">
        <f>D17*100/D15</f>
        <v>13.293353547762992</v>
      </c>
      <c r="J17" s="174">
        <v>13283927.720000001</v>
      </c>
      <c r="K17" s="174">
        <v>6981367.7000000002</v>
      </c>
      <c r="L17" s="174">
        <v>7513842.8099999996</v>
      </c>
      <c r="M17" s="170">
        <f>J17+K17+L17</f>
        <v>27779138.23</v>
      </c>
    </row>
    <row r="18" spans="3:13" x14ac:dyDescent="0.25">
      <c r="C18" s="170" t="s">
        <v>189</v>
      </c>
      <c r="D18" s="174">
        <f>82141812.55-D17</f>
        <v>54362674.319999993</v>
      </c>
      <c r="E18" s="174">
        <f>E15*H18%</f>
        <v>25996120.906431865</v>
      </c>
      <c r="F18" s="174">
        <f>F15*H18%</f>
        <v>13662260.350017946</v>
      </c>
      <c r="G18" s="174">
        <f>G15*H18%</f>
        <v>14704293.063550174</v>
      </c>
      <c r="H18" s="170">
        <f>D18*100/D15</f>
        <v>26.014566886643696</v>
      </c>
      <c r="J18" s="174">
        <v>25996120.91</v>
      </c>
      <c r="K18" s="174">
        <v>13662260.35</v>
      </c>
      <c r="L18" s="174">
        <v>14704293.060000001</v>
      </c>
      <c r="M18" s="170">
        <f>J18+K18+L18</f>
        <v>54362674.32</v>
      </c>
    </row>
    <row r="19" spans="3:13" x14ac:dyDescent="0.25">
      <c r="C19" s="170" t="s">
        <v>322</v>
      </c>
      <c r="D19" s="174"/>
      <c r="E19" s="174">
        <f>E20-E15</f>
        <v>64516395.350400016</v>
      </c>
      <c r="F19" s="174">
        <f>F20-F15</f>
        <v>33906589.113600001</v>
      </c>
      <c r="G19" s="174">
        <f>G20-G15</f>
        <v>36492674.736000001</v>
      </c>
      <c r="J19" s="174">
        <v>64516395.350000001</v>
      </c>
      <c r="K19" s="174">
        <v>33906589.109999999</v>
      </c>
      <c r="L19" s="174">
        <v>36492674.740000002</v>
      </c>
    </row>
    <row r="20" spans="3:13" x14ac:dyDescent="0.25">
      <c r="E20" s="170">
        <f>E10*H11</f>
        <v>164445488.99900001</v>
      </c>
      <c r="F20" s="170">
        <f>E11*H11</f>
        <v>86424320.466000006</v>
      </c>
      <c r="G20" s="170">
        <f>E12*H11</f>
        <v>93015980.034999996</v>
      </c>
    </row>
    <row r="22" spans="3:13" x14ac:dyDescent="0.25">
      <c r="D22" s="175">
        <f>D20*36430</f>
        <v>0</v>
      </c>
      <c r="I22" s="170">
        <f>3052.8-J22</f>
        <v>0</v>
      </c>
      <c r="J22" s="174">
        <f>SUM(J23:J25)</f>
        <v>3052.8</v>
      </c>
      <c r="K22" s="174">
        <f>SUM(K23:K25)</f>
        <v>3327.5520000000006</v>
      </c>
    </row>
    <row r="23" spans="3:13" x14ac:dyDescent="0.25">
      <c r="D23" s="174">
        <v>26768656.100000001</v>
      </c>
      <c r="J23" s="174">
        <v>221.3</v>
      </c>
      <c r="K23" s="174">
        <f>J23*1.09</f>
        <v>241.21700000000004</v>
      </c>
    </row>
    <row r="24" spans="3:13" x14ac:dyDescent="0.25">
      <c r="D24" s="174">
        <v>27779138.23</v>
      </c>
      <c r="J24" s="174">
        <f>1357.27+74.44</f>
        <v>1431.71</v>
      </c>
      <c r="K24" s="174">
        <f>J24*1.09</f>
        <v>1560.5639000000001</v>
      </c>
      <c r="L24" s="170" t="s">
        <v>329</v>
      </c>
    </row>
    <row r="25" spans="3:13" x14ac:dyDescent="0.25">
      <c r="D25" s="174">
        <f>82141812.55-D24</f>
        <v>54362674.319999993</v>
      </c>
      <c r="J25" s="174">
        <f>1328.5+71.29</f>
        <v>1399.79</v>
      </c>
      <c r="K25" s="174">
        <f>J25*1.09</f>
        <v>1525.7711000000002</v>
      </c>
      <c r="L25" s="170" t="s">
        <v>330</v>
      </c>
    </row>
    <row r="26" spans="3:13" x14ac:dyDescent="0.25">
      <c r="D26" s="17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204"/>
  <sheetViews>
    <sheetView zoomScale="60" zoomScaleNormal="6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F14" sqref="F14:F18"/>
    </sheetView>
  </sheetViews>
  <sheetFormatPr defaultColWidth="17.28515625" defaultRowHeight="15.75" x14ac:dyDescent="0.25"/>
  <cols>
    <col min="1" max="1" width="5.5703125" style="35" customWidth="1"/>
    <col min="2" max="2" width="28.140625" style="35" customWidth="1"/>
    <col min="3" max="3" width="11" style="35" customWidth="1"/>
    <col min="4" max="4" width="33.42578125" style="35" customWidth="1"/>
    <col min="5" max="5" width="19.85546875" style="35" hidden="1" customWidth="1"/>
    <col min="6" max="6" width="19" style="35" customWidth="1"/>
    <col min="7" max="7" width="16.85546875" style="105" customWidth="1"/>
    <col min="8" max="8" width="16.85546875" style="275" customWidth="1"/>
    <col min="9" max="9" width="16.85546875" style="65" customWidth="1"/>
    <col min="10" max="11" width="16.85546875" style="35" customWidth="1"/>
    <col min="12" max="12" width="18.28515625" style="37" customWidth="1"/>
    <col min="13" max="16" width="16.85546875" style="35" customWidth="1"/>
    <col min="17" max="17" width="16.85546875" style="37" customWidth="1"/>
    <col min="18" max="21" width="16.85546875" style="35" customWidth="1"/>
    <col min="22" max="22" width="16.85546875" style="37" customWidth="1"/>
    <col min="23" max="28" width="16.85546875" style="35" customWidth="1"/>
    <col min="29" max="29" width="17.28515625" style="205" customWidth="1"/>
    <col min="30" max="30" width="17.28515625" style="35" customWidth="1"/>
    <col min="31" max="16384" width="17.28515625" style="35"/>
  </cols>
  <sheetData>
    <row r="1" spans="1:30" ht="17.25" customHeight="1" x14ac:dyDescent="0.25">
      <c r="A1" s="355" t="s">
        <v>33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</row>
    <row r="2" spans="1:30" ht="17.25" customHeight="1" x14ac:dyDescent="0.25">
      <c r="A2" s="356">
        <v>42353</v>
      </c>
      <c r="B2" s="357"/>
      <c r="C2" s="357"/>
      <c r="D2" s="285">
        <f>F12+F32+F48+F63+F78</f>
        <v>99345</v>
      </c>
      <c r="E2" s="283"/>
      <c r="F2" s="172"/>
      <c r="G2" s="96"/>
      <c r="H2" s="255"/>
      <c r="I2" s="86"/>
      <c r="J2" s="172"/>
      <c r="K2" s="172"/>
      <c r="L2" s="71"/>
      <c r="M2" s="283"/>
      <c r="N2" s="283"/>
      <c r="O2" s="283"/>
      <c r="P2" s="283"/>
      <c r="Q2" s="283"/>
      <c r="R2" s="283"/>
      <c r="S2" s="283"/>
      <c r="T2" s="283"/>
      <c r="U2" s="283"/>
      <c r="V2" s="172"/>
      <c r="W2" s="283"/>
      <c r="X2" s="283"/>
      <c r="Y2" s="283"/>
      <c r="Z2" s="283"/>
      <c r="AA2" s="283"/>
      <c r="AB2" s="283"/>
    </row>
    <row r="3" spans="1:30" ht="15.75" customHeight="1" x14ac:dyDescent="0.25">
      <c r="A3" s="328" t="s">
        <v>30</v>
      </c>
      <c r="B3" s="308" t="s">
        <v>28</v>
      </c>
      <c r="C3" s="308" t="s">
        <v>26</v>
      </c>
      <c r="D3" s="358" t="s">
        <v>29</v>
      </c>
      <c r="E3" s="359"/>
      <c r="F3" s="308" t="s">
        <v>27</v>
      </c>
      <c r="G3" s="329" t="s">
        <v>243</v>
      </c>
      <c r="H3" s="360" t="s">
        <v>244</v>
      </c>
      <c r="I3" s="333" t="s">
        <v>242</v>
      </c>
      <c r="J3" s="308" t="s">
        <v>185</v>
      </c>
      <c r="K3" s="308" t="s">
        <v>186</v>
      </c>
      <c r="L3" s="321" t="s">
        <v>197</v>
      </c>
      <c r="M3" s="308" t="s">
        <v>187</v>
      </c>
      <c r="N3" s="308" t="s">
        <v>188</v>
      </c>
      <c r="O3" s="308" t="s">
        <v>189</v>
      </c>
      <c r="P3" s="308" t="s">
        <v>192</v>
      </c>
      <c r="Q3" s="321" t="s">
        <v>198</v>
      </c>
      <c r="R3" s="308" t="s">
        <v>187</v>
      </c>
      <c r="S3" s="308" t="s">
        <v>188</v>
      </c>
      <c r="T3" s="308" t="s">
        <v>189</v>
      </c>
      <c r="U3" s="308" t="s">
        <v>192</v>
      </c>
      <c r="V3" s="321" t="s">
        <v>190</v>
      </c>
      <c r="W3" s="308" t="s">
        <v>187</v>
      </c>
      <c r="X3" s="308" t="s">
        <v>188</v>
      </c>
      <c r="Y3" s="308" t="s">
        <v>189</v>
      </c>
      <c r="Z3" s="308" t="s">
        <v>192</v>
      </c>
      <c r="AA3" s="308" t="s">
        <v>238</v>
      </c>
      <c r="AB3" s="308" t="s">
        <v>305</v>
      </c>
      <c r="AC3" s="354" t="s">
        <v>203</v>
      </c>
    </row>
    <row r="4" spans="1:30" ht="67.5" customHeight="1" x14ac:dyDescent="0.25">
      <c r="A4" s="328"/>
      <c r="B4" s="310"/>
      <c r="C4" s="310"/>
      <c r="D4" s="34" t="s">
        <v>42</v>
      </c>
      <c r="E4" s="34" t="s">
        <v>334</v>
      </c>
      <c r="F4" s="310"/>
      <c r="G4" s="330"/>
      <c r="H4" s="361"/>
      <c r="I4" s="334"/>
      <c r="J4" s="310"/>
      <c r="K4" s="310"/>
      <c r="L4" s="322"/>
      <c r="M4" s="310"/>
      <c r="N4" s="310"/>
      <c r="O4" s="310"/>
      <c r="P4" s="310"/>
      <c r="Q4" s="322"/>
      <c r="R4" s="310"/>
      <c r="S4" s="310"/>
      <c r="T4" s="310"/>
      <c r="U4" s="310"/>
      <c r="V4" s="322"/>
      <c r="W4" s="310"/>
      <c r="X4" s="310"/>
      <c r="Y4" s="310"/>
      <c r="Z4" s="310"/>
      <c r="AA4" s="310"/>
      <c r="AB4" s="310"/>
      <c r="AC4" s="354"/>
    </row>
    <row r="5" spans="1:30" ht="15.75" customHeight="1" x14ac:dyDescent="0.25">
      <c r="A5" s="34">
        <v>1</v>
      </c>
      <c r="B5" s="34">
        <v>2</v>
      </c>
      <c r="C5" s="34">
        <v>3</v>
      </c>
      <c r="D5" s="9">
        <v>4</v>
      </c>
      <c r="E5" s="204"/>
      <c r="F5" s="34">
        <v>5</v>
      </c>
      <c r="G5" s="97" t="s">
        <v>239</v>
      </c>
      <c r="H5" s="256" t="s">
        <v>240</v>
      </c>
      <c r="I5" s="87" t="s">
        <v>241</v>
      </c>
      <c r="J5" s="34">
        <v>6</v>
      </c>
      <c r="K5" s="34">
        <v>7</v>
      </c>
      <c r="L5" s="38">
        <v>8</v>
      </c>
      <c r="M5" s="34">
        <v>9</v>
      </c>
      <c r="N5" s="34">
        <v>10</v>
      </c>
      <c r="O5" s="34">
        <v>11</v>
      </c>
      <c r="P5" s="34" t="s">
        <v>191</v>
      </c>
      <c r="Q5" s="38" t="s">
        <v>199</v>
      </c>
      <c r="R5" s="34" t="s">
        <v>200</v>
      </c>
      <c r="S5" s="34" t="s">
        <v>201</v>
      </c>
      <c r="T5" s="34" t="s">
        <v>191</v>
      </c>
      <c r="U5" s="34" t="s">
        <v>202</v>
      </c>
      <c r="V5" s="38">
        <v>12</v>
      </c>
      <c r="W5" s="34">
        <v>13</v>
      </c>
      <c r="X5" s="34">
        <v>14</v>
      </c>
      <c r="Y5" s="34">
        <v>15</v>
      </c>
      <c r="Z5" s="34" t="s">
        <v>196</v>
      </c>
      <c r="AA5" s="34">
        <v>16</v>
      </c>
      <c r="AB5" s="34">
        <v>16</v>
      </c>
    </row>
    <row r="6" spans="1:30" s="10" customFormat="1" ht="15.75" customHeight="1" x14ac:dyDescent="0.25">
      <c r="A6" s="316" t="s">
        <v>19</v>
      </c>
      <c r="B6" s="317"/>
      <c r="C6" s="317"/>
      <c r="D6" s="24"/>
      <c r="E6" s="24"/>
      <c r="F6" s="24"/>
      <c r="G6" s="106"/>
      <c r="H6" s="257"/>
      <c r="I6" s="88"/>
      <c r="J6" s="24"/>
      <c r="K6" s="169"/>
      <c r="L6" s="39"/>
      <c r="Q6" s="39"/>
      <c r="V6" s="39"/>
      <c r="AC6" s="206"/>
    </row>
    <row r="7" spans="1:30" s="14" customFormat="1" ht="15.75" customHeight="1" x14ac:dyDescent="0.25">
      <c r="A7" s="11" t="s">
        <v>34</v>
      </c>
      <c r="B7" s="12" t="s">
        <v>0</v>
      </c>
      <c r="C7" s="12"/>
      <c r="D7" s="12"/>
      <c r="E7" s="12"/>
      <c r="F7" s="13">
        <f>SUM(F8:F26)</f>
        <v>93022814.659999996</v>
      </c>
      <c r="G7" s="102">
        <f>SUM(G8:G26)</f>
        <v>178991.49</v>
      </c>
      <c r="H7" s="258">
        <f>SUM(H8:H26)</f>
        <v>5492928.4500000011</v>
      </c>
      <c r="I7" s="89">
        <f>SUM(I8:I26)</f>
        <v>87350894.719999984</v>
      </c>
      <c r="J7" s="13">
        <f>SUM(J8:J26)</f>
        <v>1479.97</v>
      </c>
      <c r="K7" s="13">
        <f>F7/J7</f>
        <v>62854.527226903243</v>
      </c>
      <c r="L7" s="40">
        <f t="shared" ref="L7:AB7" si="0">SUM(L8:L26)</f>
        <v>2440008.29</v>
      </c>
      <c r="M7" s="13">
        <f t="shared" si="0"/>
        <v>12462294.029999999</v>
      </c>
      <c r="N7" s="13">
        <f t="shared" si="0"/>
        <v>30127511.690000001</v>
      </c>
      <c r="O7" s="13">
        <f t="shared" si="0"/>
        <v>3613851.66</v>
      </c>
      <c r="P7" s="13">
        <f t="shared" si="0"/>
        <v>28637817.520000003</v>
      </c>
      <c r="Q7" s="40">
        <f t="shared" si="0"/>
        <v>87350894.719999984</v>
      </c>
      <c r="R7" s="13">
        <f t="shared" si="0"/>
        <v>12462294.030000001</v>
      </c>
      <c r="S7" s="13">
        <f t="shared" si="0"/>
        <v>30127511.689999998</v>
      </c>
      <c r="T7" s="13">
        <f t="shared" si="0"/>
        <v>3613851.66</v>
      </c>
      <c r="U7" s="13">
        <f t="shared" si="0"/>
        <v>41147237.339999996</v>
      </c>
      <c r="V7" s="40">
        <f t="shared" si="0"/>
        <v>18056695.109999996</v>
      </c>
      <c r="W7" s="13">
        <f t="shared" si="0"/>
        <v>4853741.6899999995</v>
      </c>
      <c r="X7" s="13">
        <f t="shared" si="0"/>
        <v>11735724.75</v>
      </c>
      <c r="Y7" s="13">
        <f t="shared" si="0"/>
        <v>1407351.14</v>
      </c>
      <c r="Z7" s="13">
        <f>SUM(Z8:Z26)</f>
        <v>59877.53</v>
      </c>
      <c r="AA7" s="40">
        <f t="shared" si="0"/>
        <v>0</v>
      </c>
      <c r="AB7" s="40">
        <f t="shared" si="0"/>
        <v>30265327.510000005</v>
      </c>
      <c r="AC7" s="207"/>
    </row>
    <row r="8" spans="1:30" ht="122.25" customHeight="1" x14ac:dyDescent="0.25">
      <c r="A8" s="282" t="s">
        <v>43</v>
      </c>
      <c r="B8" s="1" t="s">
        <v>32</v>
      </c>
      <c r="C8" s="3">
        <v>310</v>
      </c>
      <c r="D8" s="25" t="s">
        <v>344</v>
      </c>
      <c r="E8" s="25" t="s">
        <v>335</v>
      </c>
      <c r="F8" s="2">
        <v>87081489.019999996</v>
      </c>
      <c r="G8" s="98">
        <v>0</v>
      </c>
      <c r="H8" s="253">
        <v>2170602.59</v>
      </c>
      <c r="I8" s="7">
        <f t="shared" ref="I8:I23" si="1">F8-G8-H8</f>
        <v>84910886.429999992</v>
      </c>
      <c r="J8" s="36">
        <v>1479.97</v>
      </c>
      <c r="K8" s="36">
        <f>F8/J8</f>
        <v>58840.036635877754</v>
      </c>
      <c r="L8" s="41"/>
      <c r="M8" s="36">
        <v>12462294.029999999</v>
      </c>
      <c r="N8" s="36">
        <v>30127511.690000001</v>
      </c>
      <c r="O8" s="177">
        <v>3613851.66</v>
      </c>
      <c r="P8" s="129">
        <v>26197809.23</v>
      </c>
      <c r="Q8" s="41">
        <f>SUM(R8:U8)</f>
        <v>84910886.429999992</v>
      </c>
      <c r="R8" s="36">
        <f>13047705.55-585411.52</f>
        <v>12462294.030000001</v>
      </c>
      <c r="S8" s="36">
        <f>31542961.63-1415449.94</f>
        <v>30127511.689999998</v>
      </c>
      <c r="T8" s="36">
        <f>3783592.79-169741.13</f>
        <v>3613851.66</v>
      </c>
      <c r="U8" s="36">
        <f>2832702+35874527.05</f>
        <v>38707229.049999997</v>
      </c>
      <c r="V8" s="46">
        <f>SUM(W8:Z8)</f>
        <v>17996817.579999998</v>
      </c>
      <c r="W8" s="129">
        <f>4279582.52+574159.17</f>
        <v>4853741.6899999995</v>
      </c>
      <c r="X8" s="129">
        <f>10347481.55+1388243.2</f>
        <v>11735724.75</v>
      </c>
      <c r="Y8" s="129">
        <f>1240872.66+166478.48</f>
        <v>1407351.14</v>
      </c>
      <c r="Z8" s="36">
        <v>0</v>
      </c>
      <c r="AA8" s="36">
        <f>T8-O8</f>
        <v>0</v>
      </c>
      <c r="AB8" s="36">
        <f>AA8+O8-Y8+P8</f>
        <v>28404309.75</v>
      </c>
      <c r="AC8" s="208">
        <f>O8+P8-Y8-Z8+AA8</f>
        <v>28404309.75</v>
      </c>
      <c r="AD8" s="49">
        <f>Y8+X8+W8+H8+Z8</f>
        <v>20167420.169999998</v>
      </c>
    </row>
    <row r="9" spans="1:30" ht="32.450000000000003" customHeight="1" x14ac:dyDescent="0.25">
      <c r="A9" s="282" t="s">
        <v>44</v>
      </c>
      <c r="B9" s="3" t="s">
        <v>10</v>
      </c>
      <c r="C9" s="3">
        <v>226</v>
      </c>
      <c r="D9" s="25" t="s">
        <v>177</v>
      </c>
      <c r="E9" s="160"/>
      <c r="F9" s="2">
        <v>3330</v>
      </c>
      <c r="G9" s="98">
        <v>3330</v>
      </c>
      <c r="H9" s="253"/>
      <c r="I9" s="7">
        <f t="shared" si="1"/>
        <v>0</v>
      </c>
      <c r="J9" s="2"/>
      <c r="K9" s="2"/>
      <c r="L9" s="41">
        <f t="shared" ref="L9:L25" si="2">SUM(M9:P9)</f>
        <v>0</v>
      </c>
      <c r="M9" s="2"/>
      <c r="N9" s="2"/>
      <c r="O9" s="2"/>
      <c r="P9" s="2"/>
      <c r="Q9" s="41">
        <f t="shared" ref="Q9:Q26" si="3">SUM(R9:U9)</f>
        <v>0</v>
      </c>
      <c r="R9" s="2"/>
      <c r="S9" s="2"/>
      <c r="T9" s="2"/>
      <c r="U9" s="2"/>
      <c r="V9" s="46">
        <f t="shared" ref="V9:V26" si="4">SUM(W9:Z9)</f>
        <v>0</v>
      </c>
      <c r="W9" s="2"/>
      <c r="X9" s="2"/>
      <c r="Y9" s="2"/>
      <c r="Z9" s="2"/>
      <c r="AA9" s="2"/>
      <c r="AB9" s="2"/>
    </row>
    <row r="10" spans="1:30" ht="27" customHeight="1" x14ac:dyDescent="0.25">
      <c r="A10" s="282" t="s">
        <v>45</v>
      </c>
      <c r="B10" s="3" t="s">
        <v>1</v>
      </c>
      <c r="C10" s="3">
        <v>226</v>
      </c>
      <c r="D10" s="28" t="s">
        <v>165</v>
      </c>
      <c r="E10" s="202">
        <v>41621</v>
      </c>
      <c r="F10" s="2">
        <v>175661.49</v>
      </c>
      <c r="G10" s="98">
        <v>175661.49</v>
      </c>
      <c r="H10" s="253"/>
      <c r="I10" s="7">
        <f t="shared" si="1"/>
        <v>0</v>
      </c>
      <c r="J10" s="2"/>
      <c r="K10" s="2"/>
      <c r="L10" s="41">
        <f t="shared" si="2"/>
        <v>0</v>
      </c>
      <c r="M10" s="2"/>
      <c r="N10" s="2"/>
      <c r="O10" s="2"/>
      <c r="P10" s="2"/>
      <c r="Q10" s="41">
        <f t="shared" si="3"/>
        <v>0</v>
      </c>
      <c r="R10" s="2"/>
      <c r="S10" s="2"/>
      <c r="T10" s="2"/>
      <c r="U10" s="2"/>
      <c r="V10" s="46">
        <f t="shared" si="4"/>
        <v>0</v>
      </c>
      <c r="W10" s="2"/>
      <c r="X10" s="2"/>
      <c r="Y10" s="2"/>
      <c r="Z10" s="2"/>
      <c r="AA10" s="2"/>
      <c r="AB10" s="2"/>
    </row>
    <row r="11" spans="1:30" s="8" customFormat="1" ht="24.6" customHeight="1" x14ac:dyDescent="0.25">
      <c r="A11" s="5" t="s">
        <v>46</v>
      </c>
      <c r="B11" s="1" t="s">
        <v>1</v>
      </c>
      <c r="C11" s="1">
        <v>226</v>
      </c>
      <c r="D11" s="25" t="s">
        <v>180</v>
      </c>
      <c r="E11" s="203">
        <v>42004</v>
      </c>
      <c r="F11" s="2">
        <v>19644.400000000001</v>
      </c>
      <c r="G11" s="98"/>
      <c r="H11" s="253">
        <v>19644.400000000001</v>
      </c>
      <c r="I11" s="7">
        <f t="shared" si="1"/>
        <v>0</v>
      </c>
      <c r="J11" s="2"/>
      <c r="K11" s="2"/>
      <c r="L11" s="41">
        <f t="shared" si="2"/>
        <v>0</v>
      </c>
      <c r="M11" s="2"/>
      <c r="N11" s="2"/>
      <c r="O11" s="2"/>
      <c r="P11" s="2"/>
      <c r="Q11" s="41">
        <f t="shared" si="3"/>
        <v>0</v>
      </c>
      <c r="R11" s="2"/>
      <c r="S11" s="2"/>
      <c r="T11" s="2"/>
      <c r="U11" s="2"/>
      <c r="V11" s="77">
        <f t="shared" si="4"/>
        <v>0</v>
      </c>
      <c r="W11" s="2"/>
      <c r="X11" s="2"/>
      <c r="Y11" s="2"/>
      <c r="Z11" s="2"/>
      <c r="AA11" s="2"/>
      <c r="AB11" s="2"/>
      <c r="AC11" s="205"/>
    </row>
    <row r="12" spans="1:30" s="8" customFormat="1" ht="56.25" customHeight="1" x14ac:dyDescent="0.25">
      <c r="A12" s="5" t="s">
        <v>47</v>
      </c>
      <c r="B12" s="284" t="s">
        <v>378</v>
      </c>
      <c r="C12" s="1">
        <v>226</v>
      </c>
      <c r="D12" s="25" t="s">
        <v>379</v>
      </c>
      <c r="E12" s="203">
        <v>42004</v>
      </c>
      <c r="F12" s="2">
        <v>19869</v>
      </c>
      <c r="G12" s="98">
        <v>0</v>
      </c>
      <c r="H12" s="253">
        <v>0</v>
      </c>
      <c r="I12" s="7">
        <f t="shared" si="1"/>
        <v>19869</v>
      </c>
      <c r="J12" s="2"/>
      <c r="K12" s="2"/>
      <c r="L12" s="41">
        <f>SUM(M12:P12)</f>
        <v>19869</v>
      </c>
      <c r="M12" s="2"/>
      <c r="N12" s="2"/>
      <c r="O12" s="2"/>
      <c r="P12" s="2">
        <v>19869</v>
      </c>
      <c r="Q12" s="41">
        <f t="shared" si="3"/>
        <v>19869</v>
      </c>
      <c r="R12" s="2"/>
      <c r="S12" s="2"/>
      <c r="T12" s="2"/>
      <c r="U12" s="2">
        <v>19869</v>
      </c>
      <c r="V12" s="77">
        <f t="shared" si="4"/>
        <v>0</v>
      </c>
      <c r="W12" s="2"/>
      <c r="X12" s="2"/>
      <c r="Y12" s="2"/>
      <c r="Z12" s="2"/>
      <c r="AA12" s="2"/>
      <c r="AB12" s="2"/>
      <c r="AC12" s="205"/>
    </row>
    <row r="13" spans="1:30" s="8" customFormat="1" ht="46.9" customHeight="1" x14ac:dyDescent="0.25">
      <c r="A13" s="5" t="s">
        <v>48</v>
      </c>
      <c r="B13" s="1" t="s">
        <v>11</v>
      </c>
      <c r="C13" s="1">
        <v>226</v>
      </c>
      <c r="D13" s="25" t="s">
        <v>133</v>
      </c>
      <c r="E13" s="203">
        <v>41698</v>
      </c>
      <c r="F13" s="2">
        <v>933921.26</v>
      </c>
      <c r="G13" s="98"/>
      <c r="H13" s="253">
        <v>933921.26</v>
      </c>
      <c r="I13" s="7">
        <f t="shared" si="1"/>
        <v>0</v>
      </c>
      <c r="J13" s="2"/>
      <c r="K13" s="2"/>
      <c r="L13" s="41">
        <f t="shared" si="2"/>
        <v>0</v>
      </c>
      <c r="M13" s="2"/>
      <c r="N13" s="2"/>
      <c r="O13" s="2"/>
      <c r="P13" s="2"/>
      <c r="Q13" s="41">
        <f t="shared" si="3"/>
        <v>0</v>
      </c>
      <c r="R13" s="2"/>
      <c r="S13" s="2"/>
      <c r="T13" s="2"/>
      <c r="U13" s="2"/>
      <c r="V13" s="77">
        <f t="shared" si="4"/>
        <v>0</v>
      </c>
      <c r="W13" s="2"/>
      <c r="X13" s="2"/>
      <c r="Y13" s="2"/>
      <c r="Z13" s="2"/>
      <c r="AA13" s="2"/>
      <c r="AB13" s="2"/>
      <c r="AC13" s="205"/>
    </row>
    <row r="14" spans="1:30" s="8" customFormat="1" ht="72" customHeight="1" x14ac:dyDescent="0.25">
      <c r="A14" s="5" t="s">
        <v>49</v>
      </c>
      <c r="B14" s="1" t="s">
        <v>367</v>
      </c>
      <c r="C14" s="1">
        <v>226</v>
      </c>
      <c r="D14" s="1" t="s">
        <v>368</v>
      </c>
      <c r="E14" s="203"/>
      <c r="F14" s="2">
        <v>97893</v>
      </c>
      <c r="G14" s="98">
        <v>0</v>
      </c>
      <c r="H14" s="253">
        <v>0</v>
      </c>
      <c r="I14" s="7">
        <f t="shared" si="1"/>
        <v>97893</v>
      </c>
      <c r="J14" s="2"/>
      <c r="K14" s="2"/>
      <c r="L14" s="41">
        <f t="shared" si="2"/>
        <v>97893</v>
      </c>
      <c r="M14" s="2"/>
      <c r="N14" s="2"/>
      <c r="O14" s="2"/>
      <c r="P14" s="2">
        <v>97893</v>
      </c>
      <c r="Q14" s="41">
        <f t="shared" si="3"/>
        <v>97893</v>
      </c>
      <c r="R14" s="2"/>
      <c r="S14" s="2"/>
      <c r="T14" s="2"/>
      <c r="U14" s="2">
        <v>97893</v>
      </c>
      <c r="V14" s="77">
        <f t="shared" si="4"/>
        <v>0</v>
      </c>
      <c r="W14" s="2"/>
      <c r="X14" s="2"/>
      <c r="Y14" s="2"/>
      <c r="Z14" s="2">
        <v>0</v>
      </c>
      <c r="AA14" s="2"/>
      <c r="AB14" s="2"/>
      <c r="AC14" s="205"/>
    </row>
    <row r="15" spans="1:30" s="8" customFormat="1" ht="72" customHeight="1" x14ac:dyDescent="0.25">
      <c r="A15" s="5" t="s">
        <v>50</v>
      </c>
      <c r="B15" s="1" t="s">
        <v>369</v>
      </c>
      <c r="C15" s="1">
        <v>226</v>
      </c>
      <c r="D15" s="1" t="s">
        <v>370</v>
      </c>
      <c r="E15" s="203"/>
      <c r="F15" s="2">
        <v>26104</v>
      </c>
      <c r="G15" s="98">
        <v>0</v>
      </c>
      <c r="H15" s="253">
        <v>0</v>
      </c>
      <c r="I15" s="7">
        <f t="shared" si="1"/>
        <v>26104</v>
      </c>
      <c r="J15" s="2"/>
      <c r="K15" s="2"/>
      <c r="L15" s="41">
        <f t="shared" si="2"/>
        <v>26104</v>
      </c>
      <c r="M15" s="2"/>
      <c r="N15" s="2"/>
      <c r="O15" s="2"/>
      <c r="P15" s="2">
        <v>26104</v>
      </c>
      <c r="Q15" s="41">
        <f t="shared" si="3"/>
        <v>26104</v>
      </c>
      <c r="R15" s="2"/>
      <c r="S15" s="2"/>
      <c r="T15" s="2"/>
      <c r="U15" s="2">
        <v>26104</v>
      </c>
      <c r="V15" s="77"/>
      <c r="W15" s="2"/>
      <c r="X15" s="2"/>
      <c r="Y15" s="2"/>
      <c r="Z15" s="2"/>
      <c r="AA15" s="2"/>
      <c r="AB15" s="2"/>
      <c r="AC15" s="205"/>
    </row>
    <row r="16" spans="1:30" s="8" customFormat="1" ht="72" customHeight="1" x14ac:dyDescent="0.25">
      <c r="A16" s="5" t="s">
        <v>51</v>
      </c>
      <c r="B16" s="1" t="s">
        <v>371</v>
      </c>
      <c r="C16" s="1">
        <v>226</v>
      </c>
      <c r="D16" s="1" t="s">
        <v>372</v>
      </c>
      <c r="E16" s="203"/>
      <c r="F16" s="2">
        <v>99458</v>
      </c>
      <c r="G16" s="98">
        <v>0</v>
      </c>
      <c r="H16" s="253">
        <v>0</v>
      </c>
      <c r="I16" s="7">
        <f t="shared" si="1"/>
        <v>99458</v>
      </c>
      <c r="J16" s="2"/>
      <c r="K16" s="2"/>
      <c r="L16" s="41">
        <f t="shared" si="2"/>
        <v>99458</v>
      </c>
      <c r="M16" s="2"/>
      <c r="N16" s="2"/>
      <c r="O16" s="2"/>
      <c r="P16" s="2">
        <v>99458</v>
      </c>
      <c r="Q16" s="41">
        <f t="shared" si="3"/>
        <v>99458</v>
      </c>
      <c r="R16" s="2"/>
      <c r="S16" s="2"/>
      <c r="T16" s="2"/>
      <c r="U16" s="2">
        <v>99458</v>
      </c>
      <c r="V16" s="77"/>
      <c r="W16" s="2"/>
      <c r="X16" s="2"/>
      <c r="Y16" s="2"/>
      <c r="Z16" s="2"/>
      <c r="AA16" s="2"/>
      <c r="AB16" s="2"/>
      <c r="AC16" s="205"/>
    </row>
    <row r="17" spans="1:30" s="8" customFormat="1" ht="72" customHeight="1" x14ac:dyDescent="0.25">
      <c r="A17" s="5" t="s">
        <v>35</v>
      </c>
      <c r="B17" s="1" t="s">
        <v>373</v>
      </c>
      <c r="C17" s="1">
        <v>226</v>
      </c>
      <c r="D17" s="1" t="s">
        <v>374</v>
      </c>
      <c r="E17" s="203"/>
      <c r="F17" s="2">
        <v>97198</v>
      </c>
      <c r="G17" s="98">
        <v>0</v>
      </c>
      <c r="H17" s="253">
        <v>0</v>
      </c>
      <c r="I17" s="7">
        <f t="shared" si="1"/>
        <v>97198</v>
      </c>
      <c r="J17" s="2"/>
      <c r="K17" s="2"/>
      <c r="L17" s="41">
        <f>SUM(M17:P17)</f>
        <v>97198</v>
      </c>
      <c r="M17" s="2"/>
      <c r="N17" s="2"/>
      <c r="O17" s="2"/>
      <c r="P17" s="2">
        <v>97198</v>
      </c>
      <c r="Q17" s="41">
        <f t="shared" si="3"/>
        <v>97198</v>
      </c>
      <c r="R17" s="2"/>
      <c r="S17" s="2"/>
      <c r="T17" s="2"/>
      <c r="U17" s="2">
        <v>97198</v>
      </c>
      <c r="V17" s="77"/>
      <c r="W17" s="2"/>
      <c r="X17" s="2"/>
      <c r="Y17" s="2"/>
      <c r="Z17" s="2"/>
      <c r="AA17" s="2"/>
      <c r="AB17" s="2"/>
      <c r="AC17" s="205"/>
    </row>
    <row r="18" spans="1:30" s="8" customFormat="1" ht="72" customHeight="1" x14ac:dyDescent="0.25">
      <c r="A18" s="5" t="s">
        <v>118</v>
      </c>
      <c r="B18" s="1" t="s">
        <v>375</v>
      </c>
      <c r="C18" s="1">
        <v>226</v>
      </c>
      <c r="D18" s="1" t="s">
        <v>376</v>
      </c>
      <c r="E18" s="203"/>
      <c r="F18" s="2">
        <v>78651</v>
      </c>
      <c r="G18" s="98">
        <v>0</v>
      </c>
      <c r="H18" s="253">
        <v>0</v>
      </c>
      <c r="I18" s="7">
        <f t="shared" si="1"/>
        <v>78651</v>
      </c>
      <c r="J18" s="2"/>
      <c r="K18" s="2"/>
      <c r="L18" s="41">
        <f>SUM(M18:P18)</f>
        <v>78651</v>
      </c>
      <c r="M18" s="2"/>
      <c r="N18" s="2"/>
      <c r="O18" s="2"/>
      <c r="P18" s="2">
        <v>78651</v>
      </c>
      <c r="Q18" s="41">
        <f t="shared" si="3"/>
        <v>78651</v>
      </c>
      <c r="R18" s="2"/>
      <c r="S18" s="2"/>
      <c r="T18" s="2"/>
      <c r="U18" s="2">
        <v>78651</v>
      </c>
      <c r="V18" s="77"/>
      <c r="W18" s="2"/>
      <c r="X18" s="2"/>
      <c r="Y18" s="2"/>
      <c r="Z18" s="2"/>
      <c r="AA18" s="2"/>
      <c r="AB18" s="2"/>
      <c r="AC18" s="205"/>
    </row>
    <row r="19" spans="1:30" s="8" customFormat="1" ht="72" customHeight="1" x14ac:dyDescent="0.25">
      <c r="A19" s="282" t="s">
        <v>49</v>
      </c>
      <c r="B19" s="1" t="s">
        <v>375</v>
      </c>
      <c r="C19" s="1">
        <v>226</v>
      </c>
      <c r="D19" s="1" t="s">
        <v>377</v>
      </c>
      <c r="E19" s="203"/>
      <c r="F19" s="2">
        <v>99940</v>
      </c>
      <c r="G19" s="98">
        <v>0</v>
      </c>
      <c r="H19" s="253">
        <v>0</v>
      </c>
      <c r="I19" s="7">
        <f t="shared" si="1"/>
        <v>99940</v>
      </c>
      <c r="J19" s="2"/>
      <c r="K19" s="2"/>
      <c r="L19" s="41">
        <f>SUM(M19:P19)</f>
        <v>99940</v>
      </c>
      <c r="M19" s="2"/>
      <c r="N19" s="2"/>
      <c r="O19" s="2"/>
      <c r="P19" s="2">
        <v>99940</v>
      </c>
      <c r="Q19" s="41">
        <f t="shared" si="3"/>
        <v>99940</v>
      </c>
      <c r="R19" s="2"/>
      <c r="S19" s="2"/>
      <c r="T19" s="2"/>
      <c r="U19" s="2">
        <v>99940</v>
      </c>
      <c r="V19" s="77"/>
      <c r="W19" s="2"/>
      <c r="X19" s="2"/>
      <c r="Y19" s="2"/>
      <c r="Z19" s="2"/>
      <c r="AA19" s="2"/>
      <c r="AB19" s="2"/>
      <c r="AC19" s="205"/>
    </row>
    <row r="20" spans="1:30" s="65" customFormat="1" ht="24" x14ac:dyDescent="0.25">
      <c r="A20" s="282" t="s">
        <v>50</v>
      </c>
      <c r="B20" s="61" t="s">
        <v>20</v>
      </c>
      <c r="C20" s="61">
        <v>226</v>
      </c>
      <c r="D20" s="66" t="s">
        <v>131</v>
      </c>
      <c r="E20" s="66" t="s">
        <v>336</v>
      </c>
      <c r="F20" s="7">
        <v>147595.74</v>
      </c>
      <c r="G20" s="98"/>
      <c r="H20" s="253">
        <v>3678.99</v>
      </c>
      <c r="I20" s="7">
        <f t="shared" si="1"/>
        <v>143916.75</v>
      </c>
      <c r="J20" s="7"/>
      <c r="K20" s="7"/>
      <c r="L20" s="63">
        <f t="shared" si="2"/>
        <v>143916.75</v>
      </c>
      <c r="M20" s="7"/>
      <c r="N20" s="7"/>
      <c r="O20" s="7"/>
      <c r="P20" s="7">
        <v>143916.75</v>
      </c>
      <c r="Q20" s="63">
        <f t="shared" si="3"/>
        <v>143916.75</v>
      </c>
      <c r="R20" s="7"/>
      <c r="S20" s="7"/>
      <c r="T20" s="7"/>
      <c r="U20" s="7">
        <v>143916.75</v>
      </c>
      <c r="V20" s="64">
        <f t="shared" si="4"/>
        <v>30503.079999999998</v>
      </c>
      <c r="W20" s="7"/>
      <c r="X20" s="7"/>
      <c r="Y20" s="7"/>
      <c r="Z20" s="7">
        <f>9814.35+17080.46+3608.27</f>
        <v>30503.079999999998</v>
      </c>
      <c r="AA20" s="7">
        <f t="shared" ref="AA20:AA26" si="5">U20-P20</f>
        <v>0</v>
      </c>
      <c r="AB20" s="7">
        <f t="shared" ref="AB20:AB26" si="6">P20-Z20</f>
        <v>113413.67</v>
      </c>
      <c r="AC20" s="205" t="s">
        <v>343</v>
      </c>
    </row>
    <row r="21" spans="1:30" ht="36.75" customHeight="1" x14ac:dyDescent="0.25">
      <c r="A21" s="5" t="s">
        <v>51</v>
      </c>
      <c r="B21" s="3" t="s">
        <v>12</v>
      </c>
      <c r="C21" s="3">
        <v>226</v>
      </c>
      <c r="D21" s="25" t="s">
        <v>136</v>
      </c>
      <c r="E21" s="203" t="s">
        <v>337</v>
      </c>
      <c r="F21" s="2">
        <v>758548.97</v>
      </c>
      <c r="G21" s="98"/>
      <c r="H21" s="253">
        <v>227564.69</v>
      </c>
      <c r="I21" s="7">
        <f t="shared" si="1"/>
        <v>530984.28</v>
      </c>
      <c r="J21" s="2"/>
      <c r="K21" s="2"/>
      <c r="L21" s="41">
        <f t="shared" si="2"/>
        <v>530984.28</v>
      </c>
      <c r="M21" s="2"/>
      <c r="N21" s="2"/>
      <c r="O21" s="2"/>
      <c r="P21" s="2">
        <v>530984.28</v>
      </c>
      <c r="Q21" s="41">
        <f t="shared" si="3"/>
        <v>530984.28</v>
      </c>
      <c r="R21" s="2"/>
      <c r="S21" s="2"/>
      <c r="T21" s="2"/>
      <c r="U21" s="2">
        <v>530984.28</v>
      </c>
      <c r="V21" s="46">
        <f t="shared" si="4"/>
        <v>0</v>
      </c>
      <c r="W21" s="2"/>
      <c r="X21" s="2"/>
      <c r="Y21" s="2"/>
      <c r="Z21" s="2"/>
      <c r="AA21" s="7">
        <f t="shared" si="5"/>
        <v>0</v>
      </c>
      <c r="AB21" s="7">
        <f t="shared" si="6"/>
        <v>530984.28</v>
      </c>
      <c r="AC21" s="205" t="s">
        <v>343</v>
      </c>
    </row>
    <row r="22" spans="1:30" ht="27" customHeight="1" x14ac:dyDescent="0.25">
      <c r="A22" s="60" t="s">
        <v>35</v>
      </c>
      <c r="B22" s="3" t="s">
        <v>13</v>
      </c>
      <c r="C22" s="3">
        <v>226</v>
      </c>
      <c r="D22" s="26" t="s">
        <v>142</v>
      </c>
      <c r="E22" s="26"/>
      <c r="F22" s="2">
        <v>937948.35</v>
      </c>
      <c r="G22" s="98"/>
      <c r="H22" s="253">
        <v>609666.43000000005</v>
      </c>
      <c r="I22" s="7">
        <f t="shared" si="1"/>
        <v>328281.91999999993</v>
      </c>
      <c r="J22" s="2"/>
      <c r="K22" s="2"/>
      <c r="L22" s="41">
        <f t="shared" si="2"/>
        <v>328281.92</v>
      </c>
      <c r="M22" s="2"/>
      <c r="N22" s="2"/>
      <c r="O22" s="2"/>
      <c r="P22" s="2">
        <v>328281.92</v>
      </c>
      <c r="Q22" s="41">
        <f t="shared" si="3"/>
        <v>328281.92</v>
      </c>
      <c r="R22" s="2"/>
      <c r="S22" s="2"/>
      <c r="T22" s="2"/>
      <c r="U22" s="2">
        <v>328281.92</v>
      </c>
      <c r="V22" s="46">
        <f t="shared" si="4"/>
        <v>0</v>
      </c>
      <c r="W22" s="2"/>
      <c r="X22" s="2"/>
      <c r="Y22" s="2"/>
      <c r="Z22" s="2"/>
      <c r="AA22" s="7">
        <f t="shared" si="5"/>
        <v>0</v>
      </c>
      <c r="AB22" s="7">
        <f t="shared" si="6"/>
        <v>328281.92</v>
      </c>
      <c r="AC22" s="205" t="s">
        <v>343</v>
      </c>
    </row>
    <row r="23" spans="1:30" s="8" customFormat="1" ht="25.9" customHeight="1" x14ac:dyDescent="0.25">
      <c r="A23" s="60" t="s">
        <v>118</v>
      </c>
      <c r="B23" s="1" t="s">
        <v>15</v>
      </c>
      <c r="C23" s="1">
        <v>226</v>
      </c>
      <c r="D23" s="28" t="s">
        <v>148</v>
      </c>
      <c r="E23" s="28"/>
      <c r="F23" s="2">
        <v>1052586.18</v>
      </c>
      <c r="G23" s="98"/>
      <c r="H23" s="253">
        <v>684181.02</v>
      </c>
      <c r="I23" s="7">
        <f t="shared" si="1"/>
        <v>368405.15999999992</v>
      </c>
      <c r="J23" s="2"/>
      <c r="K23" s="2"/>
      <c r="L23" s="41">
        <f t="shared" si="2"/>
        <v>368405.16</v>
      </c>
      <c r="M23" s="2"/>
      <c r="N23" s="2"/>
      <c r="O23" s="2"/>
      <c r="P23" s="2">
        <v>368405.16</v>
      </c>
      <c r="Q23" s="41">
        <f t="shared" si="3"/>
        <v>368405.16</v>
      </c>
      <c r="R23" s="2"/>
      <c r="S23" s="2"/>
      <c r="T23" s="2"/>
      <c r="U23" s="2">
        <v>368405.16</v>
      </c>
      <c r="V23" s="77">
        <f t="shared" si="4"/>
        <v>0</v>
      </c>
      <c r="W23" s="2"/>
      <c r="X23" s="2"/>
      <c r="Y23" s="2"/>
      <c r="Z23" s="2"/>
      <c r="AA23" s="7">
        <f t="shared" si="5"/>
        <v>0</v>
      </c>
      <c r="AB23" s="7">
        <f t="shared" si="6"/>
        <v>368405.16</v>
      </c>
      <c r="AC23" s="205" t="s">
        <v>343</v>
      </c>
    </row>
    <row r="24" spans="1:30" s="65" customFormat="1" ht="38.25" customHeight="1" x14ac:dyDescent="0.25">
      <c r="A24" s="60" t="s">
        <v>119</v>
      </c>
      <c r="B24" s="61" t="s">
        <v>14</v>
      </c>
      <c r="C24" s="61">
        <v>226</v>
      </c>
      <c r="D24" s="66" t="s">
        <v>228</v>
      </c>
      <c r="E24" s="203" t="s">
        <v>341</v>
      </c>
      <c r="F24" s="7">
        <v>1297952.42</v>
      </c>
      <c r="G24" s="98"/>
      <c r="H24" s="253">
        <v>843669.07</v>
      </c>
      <c r="I24" s="7">
        <f>F24-G24-H24</f>
        <v>454283.35</v>
      </c>
      <c r="J24" s="7"/>
      <c r="K24" s="7"/>
      <c r="L24" s="63">
        <f t="shared" si="2"/>
        <v>454283.35</v>
      </c>
      <c r="M24" s="7"/>
      <c r="N24" s="7"/>
      <c r="O24" s="7"/>
      <c r="P24" s="7">
        <v>454283.35</v>
      </c>
      <c r="Q24" s="63">
        <f t="shared" si="3"/>
        <v>454283.35</v>
      </c>
      <c r="R24" s="7"/>
      <c r="S24" s="7"/>
      <c r="T24" s="7"/>
      <c r="U24" s="7">
        <v>454283.35</v>
      </c>
      <c r="V24" s="64">
        <f t="shared" si="4"/>
        <v>0</v>
      </c>
      <c r="W24" s="7"/>
      <c r="X24" s="7"/>
      <c r="Y24" s="7"/>
      <c r="Z24" s="7"/>
      <c r="AA24" s="7">
        <f t="shared" si="5"/>
        <v>0</v>
      </c>
      <c r="AB24" s="7">
        <f t="shared" si="6"/>
        <v>454283.35</v>
      </c>
      <c r="AC24" s="209" t="s">
        <v>343</v>
      </c>
    </row>
    <row r="25" spans="1:30" s="65" customFormat="1" ht="60" customHeight="1" x14ac:dyDescent="0.25">
      <c r="A25" s="60" t="s">
        <v>220</v>
      </c>
      <c r="B25" s="61" t="s">
        <v>208</v>
      </c>
      <c r="C25" s="61">
        <v>226</v>
      </c>
      <c r="D25" s="66" t="s">
        <v>207</v>
      </c>
      <c r="E25" s="66"/>
      <c r="F25" s="7">
        <v>93784.83</v>
      </c>
      <c r="G25" s="98"/>
      <c r="H25" s="253"/>
      <c r="I25" s="7">
        <f>F25-G25-H25</f>
        <v>93784.83</v>
      </c>
      <c r="J25" s="7"/>
      <c r="K25" s="7"/>
      <c r="L25" s="63">
        <f t="shared" si="2"/>
        <v>93784.83</v>
      </c>
      <c r="M25" s="7"/>
      <c r="N25" s="7"/>
      <c r="O25" s="7"/>
      <c r="P25" s="7">
        <v>93784.83</v>
      </c>
      <c r="Q25" s="63">
        <f t="shared" si="3"/>
        <v>93784.83</v>
      </c>
      <c r="R25" s="7"/>
      <c r="S25" s="7"/>
      <c r="T25" s="7"/>
      <c r="U25" s="7">
        <v>93784.83</v>
      </c>
      <c r="V25" s="64">
        <f t="shared" si="4"/>
        <v>28135.45</v>
      </c>
      <c r="W25" s="7"/>
      <c r="X25" s="7"/>
      <c r="Y25" s="7"/>
      <c r="Z25" s="7">
        <v>28135.45</v>
      </c>
      <c r="AA25" s="7">
        <f t="shared" si="5"/>
        <v>0</v>
      </c>
      <c r="AB25" s="7">
        <f t="shared" si="6"/>
        <v>65649.38</v>
      </c>
      <c r="AC25" s="205" t="s">
        <v>343</v>
      </c>
    </row>
    <row r="26" spans="1:30" s="65" customFormat="1" ht="48.75" customHeight="1" x14ac:dyDescent="0.25">
      <c r="A26" s="60" t="s">
        <v>247</v>
      </c>
      <c r="B26" s="68" t="s">
        <v>248</v>
      </c>
      <c r="C26" s="68">
        <v>226</v>
      </c>
      <c r="D26" s="121" t="s">
        <v>308</v>
      </c>
      <c r="E26" s="121"/>
      <c r="F26" s="7">
        <v>1239</v>
      </c>
      <c r="G26" s="98"/>
      <c r="H26" s="253"/>
      <c r="I26" s="7">
        <f>F26-G26-H26</f>
        <v>1239</v>
      </c>
      <c r="J26" s="7"/>
      <c r="K26" s="7"/>
      <c r="L26" s="63">
        <f>SUM(M26:P26)</f>
        <v>1239</v>
      </c>
      <c r="M26" s="7"/>
      <c r="N26" s="7"/>
      <c r="O26" s="7"/>
      <c r="P26" s="7">
        <v>1239</v>
      </c>
      <c r="Q26" s="63">
        <f t="shared" si="3"/>
        <v>1239</v>
      </c>
      <c r="R26" s="7"/>
      <c r="S26" s="7"/>
      <c r="T26" s="7"/>
      <c r="U26" s="7">
        <v>1239</v>
      </c>
      <c r="V26" s="64">
        <f t="shared" si="4"/>
        <v>1239</v>
      </c>
      <c r="W26" s="7"/>
      <c r="X26" s="7"/>
      <c r="Y26" s="7"/>
      <c r="Z26" s="7">
        <v>1239</v>
      </c>
      <c r="AA26" s="7">
        <f t="shared" si="5"/>
        <v>0</v>
      </c>
      <c r="AB26" s="7">
        <f t="shared" si="6"/>
        <v>0</v>
      </c>
      <c r="AC26" s="205" t="s">
        <v>343</v>
      </c>
    </row>
    <row r="27" spans="1:30" s="14" customFormat="1" ht="15.75" customHeight="1" x14ac:dyDescent="0.25">
      <c r="A27" s="11" t="s">
        <v>31</v>
      </c>
      <c r="B27" s="15" t="s">
        <v>2</v>
      </c>
      <c r="C27" s="15"/>
      <c r="D27" s="15"/>
      <c r="E27" s="15"/>
      <c r="F27" s="13">
        <f>SUM(F28:F40)</f>
        <v>87302611.140000015</v>
      </c>
      <c r="G27" s="102">
        <f>SUM(G28:G40)</f>
        <v>178991.49</v>
      </c>
      <c r="H27" s="258">
        <f>SUM(H28:H40)</f>
        <v>16315995.340000002</v>
      </c>
      <c r="I27" s="89">
        <f>SUM(I28:I40)</f>
        <v>70807624.310000002</v>
      </c>
      <c r="J27" s="13">
        <f>SUM(J28:J40)</f>
        <v>1475.78</v>
      </c>
      <c r="K27" s="13">
        <f>F27/J27</f>
        <v>59156.927956741529</v>
      </c>
      <c r="L27" s="40">
        <f>SUM(L28:L40)</f>
        <v>1945128.7300000002</v>
      </c>
      <c r="M27" s="13">
        <f t="shared" ref="M27:AB27" si="7">SUM(M28:M40)</f>
        <v>8969746.5899999999</v>
      </c>
      <c r="N27" s="13">
        <f t="shared" si="7"/>
        <v>21683187.449999999</v>
      </c>
      <c r="O27" s="13">
        <f t="shared" si="7"/>
        <v>2601164.17</v>
      </c>
      <c r="P27" s="40">
        <f t="shared" si="7"/>
        <v>37553526.099999994</v>
      </c>
      <c r="Q27" s="40">
        <f t="shared" si="7"/>
        <v>70807624.310000002</v>
      </c>
      <c r="R27" s="13">
        <f t="shared" si="7"/>
        <v>8969746.5899999999</v>
      </c>
      <c r="S27" s="13">
        <f t="shared" si="7"/>
        <v>21683187.449999999</v>
      </c>
      <c r="T27" s="13">
        <f t="shared" si="7"/>
        <v>2601164.17</v>
      </c>
      <c r="U27" s="13">
        <f t="shared" si="7"/>
        <v>37553526.099999994</v>
      </c>
      <c r="V27" s="40">
        <f t="shared" si="7"/>
        <v>43895629.140000008</v>
      </c>
      <c r="W27" s="13">
        <f t="shared" si="7"/>
        <v>8969746.5899999999</v>
      </c>
      <c r="X27" s="13">
        <f t="shared" si="7"/>
        <v>21683187.449999999</v>
      </c>
      <c r="Y27" s="13">
        <f t="shared" si="7"/>
        <v>2601164.17</v>
      </c>
      <c r="Z27" s="13">
        <f t="shared" si="7"/>
        <v>10641530.93</v>
      </c>
      <c r="AA27" s="40">
        <f t="shared" si="7"/>
        <v>0</v>
      </c>
      <c r="AB27" s="40">
        <f t="shared" si="7"/>
        <v>37456627.660000004</v>
      </c>
      <c r="AC27" s="207"/>
    </row>
    <row r="28" spans="1:30" ht="131.25" customHeight="1" x14ac:dyDescent="0.25">
      <c r="A28" s="282" t="s">
        <v>52</v>
      </c>
      <c r="B28" s="1" t="s">
        <v>32</v>
      </c>
      <c r="C28" s="3">
        <v>310</v>
      </c>
      <c r="D28" s="25" t="s">
        <v>345</v>
      </c>
      <c r="E28" s="25"/>
      <c r="F28" s="2">
        <v>81854757.370000005</v>
      </c>
      <c r="G28" s="98">
        <v>0</v>
      </c>
      <c r="H28" s="253">
        <v>12992261.789999999</v>
      </c>
      <c r="I28" s="7">
        <f t="shared" ref="I28:I34" si="8">F28-G28-H28</f>
        <v>68862495.580000013</v>
      </c>
      <c r="J28" s="36">
        <v>1475.78</v>
      </c>
      <c r="K28" s="36">
        <f>F28/J28</f>
        <v>55465.419893209022</v>
      </c>
      <c r="L28" s="41"/>
      <c r="M28" s="36">
        <v>8969746.5899999999</v>
      </c>
      <c r="N28" s="36">
        <v>21683187.449999999</v>
      </c>
      <c r="O28" s="129">
        <v>2601164.17</v>
      </c>
      <c r="P28" s="36">
        <f>4815628+30792769.37</f>
        <v>35608397.370000005</v>
      </c>
      <c r="Q28" s="41">
        <f>SUM(R28:U28)</f>
        <v>68862495.580000013</v>
      </c>
      <c r="R28" s="36">
        <f>12473759.59-3504013</f>
        <v>8969746.5899999999</v>
      </c>
      <c r="S28" s="36">
        <f>30155441.36-8472253.91</f>
        <v>21683187.449999999</v>
      </c>
      <c r="T28" s="36">
        <f>3617159.05-1015994.88</f>
        <v>2601164.17</v>
      </c>
      <c r="U28" s="36">
        <f>4815628+30792769.37</f>
        <v>35608397.370000005</v>
      </c>
      <c r="V28" s="46">
        <f>SUM(W28:Z28)</f>
        <v>43818599.700000003</v>
      </c>
      <c r="W28" s="129">
        <f>6783583.14+1581329.84+604833.61</f>
        <v>8969746.5899999999</v>
      </c>
      <c r="X28" s="129">
        <f>16401833.78+3823452.68+1457900.99</f>
        <v>21683187.449999999</v>
      </c>
      <c r="Y28" s="129">
        <f>1966912.13+458509.43+175742.61</f>
        <v>2601164.17</v>
      </c>
      <c r="Z28" s="36">
        <f>5794198.88+4770302.61</f>
        <v>10564501.49</v>
      </c>
      <c r="AA28" s="36">
        <f>T28-O28</f>
        <v>0</v>
      </c>
      <c r="AB28" s="36">
        <f>AA28+O28-Y28+P28</f>
        <v>35608397.370000005</v>
      </c>
      <c r="AC28" s="208">
        <f>O28+P28-Y28-Z28+AA28</f>
        <v>25043895.880000003</v>
      </c>
      <c r="AD28" s="49">
        <f>Y28+X28+W28+H28+Z28</f>
        <v>56810861.490000002</v>
      </c>
    </row>
    <row r="29" spans="1:30" ht="32.450000000000003" customHeight="1" x14ac:dyDescent="0.25">
      <c r="A29" s="282" t="s">
        <v>53</v>
      </c>
      <c r="B29" s="3" t="s">
        <v>10</v>
      </c>
      <c r="C29" s="3">
        <v>226</v>
      </c>
      <c r="D29" s="25" t="s">
        <v>177</v>
      </c>
      <c r="E29" s="25"/>
      <c r="F29" s="2">
        <v>3330</v>
      </c>
      <c r="G29" s="98">
        <v>3330</v>
      </c>
      <c r="H29" s="253"/>
      <c r="I29" s="7">
        <f t="shared" si="8"/>
        <v>0</v>
      </c>
      <c r="J29" s="2"/>
      <c r="K29" s="2"/>
      <c r="L29" s="41">
        <f t="shared" ref="L29:L39" si="9">SUM(M29:P29)</f>
        <v>0</v>
      </c>
      <c r="M29" s="2"/>
      <c r="N29" s="2"/>
      <c r="O29" s="2"/>
      <c r="P29" s="2"/>
      <c r="Q29" s="41">
        <f t="shared" ref="Q29:Q40" si="10">SUM(R29:U29)</f>
        <v>0</v>
      </c>
      <c r="R29" s="2"/>
      <c r="S29" s="2"/>
      <c r="T29" s="2"/>
      <c r="U29" s="2"/>
      <c r="V29" s="46">
        <f t="shared" ref="V29:V40" si="11">SUM(W29:Z29)</f>
        <v>0</v>
      </c>
      <c r="W29" s="2"/>
      <c r="X29" s="2"/>
      <c r="Y29" s="2"/>
      <c r="Z29" s="2"/>
      <c r="AA29" s="2"/>
      <c r="AB29" s="2"/>
    </row>
    <row r="30" spans="1:30" ht="50.45" customHeight="1" x14ac:dyDescent="0.25">
      <c r="A30" s="282" t="s">
        <v>54</v>
      </c>
      <c r="B30" s="3" t="s">
        <v>1</v>
      </c>
      <c r="C30" s="3">
        <v>226</v>
      </c>
      <c r="D30" s="28" t="s">
        <v>165</v>
      </c>
      <c r="E30" s="202">
        <v>41621</v>
      </c>
      <c r="F30" s="2">
        <v>175661.49</v>
      </c>
      <c r="G30" s="98">
        <v>175661.49</v>
      </c>
      <c r="H30" s="253"/>
      <c r="I30" s="7">
        <f t="shared" si="8"/>
        <v>0</v>
      </c>
      <c r="J30" s="2"/>
      <c r="K30" s="2"/>
      <c r="L30" s="41">
        <f t="shared" si="9"/>
        <v>0</v>
      </c>
      <c r="M30" s="2"/>
      <c r="N30" s="2"/>
      <c r="O30" s="2"/>
      <c r="P30" s="2"/>
      <c r="Q30" s="41">
        <f t="shared" si="10"/>
        <v>0</v>
      </c>
      <c r="R30" s="2"/>
      <c r="S30" s="2"/>
      <c r="T30" s="2"/>
      <c r="U30" s="2"/>
      <c r="V30" s="46">
        <f t="shared" si="11"/>
        <v>0</v>
      </c>
      <c r="W30" s="2"/>
      <c r="X30" s="2"/>
      <c r="Y30" s="2"/>
      <c r="Z30" s="2"/>
      <c r="AA30" s="2"/>
      <c r="AB30" s="2"/>
    </row>
    <row r="31" spans="1:30" s="8" customFormat="1" ht="30" customHeight="1" x14ac:dyDescent="0.25">
      <c r="A31" s="5" t="s">
        <v>55</v>
      </c>
      <c r="B31" s="1" t="s">
        <v>1</v>
      </c>
      <c r="C31" s="1">
        <v>226</v>
      </c>
      <c r="D31" s="25" t="s">
        <v>180</v>
      </c>
      <c r="E31" s="25"/>
      <c r="F31" s="2">
        <v>19644.400000000001</v>
      </c>
      <c r="G31" s="98"/>
      <c r="H31" s="253">
        <v>19644.400000000001</v>
      </c>
      <c r="I31" s="7">
        <f t="shared" si="8"/>
        <v>0</v>
      </c>
      <c r="J31" s="2"/>
      <c r="K31" s="2"/>
      <c r="L31" s="41">
        <f t="shared" si="9"/>
        <v>0</v>
      </c>
      <c r="M31" s="2"/>
      <c r="N31" s="2"/>
      <c r="O31" s="2"/>
      <c r="P31" s="2"/>
      <c r="Q31" s="41">
        <f t="shared" si="10"/>
        <v>0</v>
      </c>
      <c r="R31" s="2"/>
      <c r="S31" s="2"/>
      <c r="T31" s="2"/>
      <c r="U31" s="2"/>
      <c r="V31" s="77">
        <f t="shared" si="11"/>
        <v>0</v>
      </c>
      <c r="W31" s="2"/>
      <c r="X31" s="2"/>
      <c r="Y31" s="2"/>
      <c r="Z31" s="2"/>
      <c r="AA31" s="2"/>
      <c r="AB31" s="2"/>
      <c r="AC31" s="205"/>
    </row>
    <row r="32" spans="1:30" s="8" customFormat="1" ht="56.25" customHeight="1" x14ac:dyDescent="0.25">
      <c r="A32" s="5" t="s">
        <v>56</v>
      </c>
      <c r="B32" s="284" t="s">
        <v>378</v>
      </c>
      <c r="C32" s="1">
        <v>226</v>
      </c>
      <c r="D32" s="25" t="s">
        <v>379</v>
      </c>
      <c r="E32" s="203">
        <v>42004</v>
      </c>
      <c r="F32" s="2">
        <v>19869</v>
      </c>
      <c r="G32" s="98">
        <v>0</v>
      </c>
      <c r="H32" s="253">
        <v>0</v>
      </c>
      <c r="I32" s="7">
        <f t="shared" si="8"/>
        <v>19869</v>
      </c>
      <c r="J32" s="2"/>
      <c r="K32" s="2"/>
      <c r="L32" s="41">
        <f t="shared" si="9"/>
        <v>19869</v>
      </c>
      <c r="M32" s="2"/>
      <c r="N32" s="2"/>
      <c r="O32" s="2"/>
      <c r="P32" s="2">
        <v>19869</v>
      </c>
      <c r="Q32" s="41">
        <f t="shared" si="10"/>
        <v>19869</v>
      </c>
      <c r="R32" s="2"/>
      <c r="S32" s="2"/>
      <c r="T32" s="2"/>
      <c r="U32" s="2">
        <v>19869</v>
      </c>
      <c r="V32" s="77">
        <f t="shared" si="11"/>
        <v>0</v>
      </c>
      <c r="W32" s="2"/>
      <c r="X32" s="2"/>
      <c r="Y32" s="2"/>
      <c r="Z32" s="2"/>
      <c r="AA32" s="2"/>
      <c r="AB32" s="2"/>
      <c r="AC32" s="205"/>
    </row>
    <row r="33" spans="1:30" s="8" customFormat="1" ht="52.15" customHeight="1" x14ac:dyDescent="0.25">
      <c r="A33" s="60" t="s">
        <v>57</v>
      </c>
      <c r="B33" s="1" t="s">
        <v>11</v>
      </c>
      <c r="C33" s="1">
        <v>226</v>
      </c>
      <c r="D33" s="25" t="s">
        <v>133</v>
      </c>
      <c r="E33" s="203">
        <v>41698</v>
      </c>
      <c r="F33" s="2">
        <v>933921.26</v>
      </c>
      <c r="G33" s="98"/>
      <c r="H33" s="253">
        <v>933921.26</v>
      </c>
      <c r="I33" s="7">
        <f t="shared" si="8"/>
        <v>0</v>
      </c>
      <c r="J33" s="2"/>
      <c r="K33" s="2"/>
      <c r="L33" s="41">
        <f t="shared" si="9"/>
        <v>0</v>
      </c>
      <c r="M33" s="2"/>
      <c r="N33" s="2"/>
      <c r="O33" s="2"/>
      <c r="P33" s="2"/>
      <c r="Q33" s="41">
        <f t="shared" si="10"/>
        <v>0</v>
      </c>
      <c r="R33" s="2"/>
      <c r="S33" s="2"/>
      <c r="T33" s="2"/>
      <c r="U33" s="2"/>
      <c r="V33" s="77">
        <f t="shared" si="11"/>
        <v>0</v>
      </c>
      <c r="W33" s="2"/>
      <c r="X33" s="2"/>
      <c r="Y33" s="2"/>
      <c r="Z33" s="2"/>
      <c r="AA33" s="2"/>
      <c r="AB33" s="2"/>
      <c r="AC33" s="205"/>
    </row>
    <row r="34" spans="1:30" s="65" customFormat="1" ht="25.15" customHeight="1" x14ac:dyDescent="0.25">
      <c r="A34" s="282" t="s">
        <v>58</v>
      </c>
      <c r="B34" s="61" t="s">
        <v>20</v>
      </c>
      <c r="C34" s="61">
        <v>226</v>
      </c>
      <c r="D34" s="66" t="s">
        <v>125</v>
      </c>
      <c r="E34" s="66" t="s">
        <v>336</v>
      </c>
      <c r="F34" s="7">
        <v>138736.87</v>
      </c>
      <c r="G34" s="98"/>
      <c r="H34" s="253">
        <v>16205.46</v>
      </c>
      <c r="I34" s="7">
        <f t="shared" si="8"/>
        <v>122531.41</v>
      </c>
      <c r="J34" s="7"/>
      <c r="K34" s="7"/>
      <c r="L34" s="63">
        <f t="shared" si="9"/>
        <v>122531.41</v>
      </c>
      <c r="M34" s="7"/>
      <c r="N34" s="7"/>
      <c r="O34" s="7"/>
      <c r="P34" s="7">
        <v>122531.41</v>
      </c>
      <c r="Q34" s="63">
        <f t="shared" si="10"/>
        <v>122531.41</v>
      </c>
      <c r="R34" s="7"/>
      <c r="S34" s="7"/>
      <c r="T34" s="7"/>
      <c r="U34" s="7">
        <v>122531.41</v>
      </c>
      <c r="V34" s="64">
        <f t="shared" si="11"/>
        <v>58384.17</v>
      </c>
      <c r="W34" s="7"/>
      <c r="X34" s="7"/>
      <c r="Y34" s="7"/>
      <c r="Z34" s="7">
        <f>25539.42+22906.97+9937.78</f>
        <v>58384.17</v>
      </c>
      <c r="AA34" s="7">
        <f t="shared" ref="AA34:AA40" si="12">U34-P34</f>
        <v>0</v>
      </c>
      <c r="AB34" s="7">
        <f>P34-Z34</f>
        <v>64147.240000000005</v>
      </c>
      <c r="AC34" s="205" t="s">
        <v>343</v>
      </c>
    </row>
    <row r="35" spans="1:30" ht="36.75" customHeight="1" x14ac:dyDescent="0.25">
      <c r="A35" s="282" t="s">
        <v>59</v>
      </c>
      <c r="B35" s="3" t="s">
        <v>12</v>
      </c>
      <c r="C35" s="3">
        <v>226</v>
      </c>
      <c r="D35" s="25" t="s">
        <v>137</v>
      </c>
      <c r="E35" s="203" t="s">
        <v>337</v>
      </c>
      <c r="F35" s="2">
        <v>883907.47</v>
      </c>
      <c r="G35" s="98"/>
      <c r="H35" s="253">
        <v>265172.24</v>
      </c>
      <c r="I35" s="7">
        <f t="shared" ref="I35:I40" si="13">F35-G35-H35</f>
        <v>618735.23</v>
      </c>
      <c r="J35" s="2"/>
      <c r="K35" s="2"/>
      <c r="L35" s="41">
        <f t="shared" si="9"/>
        <v>618735.23</v>
      </c>
      <c r="M35" s="2"/>
      <c r="N35" s="2"/>
      <c r="O35" s="2"/>
      <c r="P35" s="2">
        <v>618735.23</v>
      </c>
      <c r="Q35" s="41">
        <f t="shared" si="10"/>
        <v>618735.23</v>
      </c>
      <c r="R35" s="2"/>
      <c r="S35" s="2"/>
      <c r="T35" s="2"/>
      <c r="U35" s="2">
        <v>618735.23</v>
      </c>
      <c r="V35" s="46">
        <f t="shared" si="11"/>
        <v>0</v>
      </c>
      <c r="W35" s="2"/>
      <c r="X35" s="2"/>
      <c r="Y35" s="2"/>
      <c r="Z35" s="2"/>
      <c r="AA35" s="7">
        <f t="shared" si="12"/>
        <v>0</v>
      </c>
      <c r="AB35" s="7">
        <f t="shared" ref="AB35:AB40" si="14">P35-Z35</f>
        <v>618735.23</v>
      </c>
      <c r="AC35" s="205" t="s">
        <v>343</v>
      </c>
    </row>
    <row r="36" spans="1:30" ht="26.45" customHeight="1" x14ac:dyDescent="0.25">
      <c r="A36" s="282" t="s">
        <v>60</v>
      </c>
      <c r="B36" s="3" t="s">
        <v>13</v>
      </c>
      <c r="C36" s="3">
        <v>226</v>
      </c>
      <c r="D36" s="26" t="s">
        <v>143</v>
      </c>
      <c r="E36" s="26"/>
      <c r="F36" s="2">
        <v>901873.41</v>
      </c>
      <c r="G36" s="98"/>
      <c r="H36" s="253">
        <v>586217.72</v>
      </c>
      <c r="I36" s="7">
        <f t="shared" si="13"/>
        <v>315655.69000000006</v>
      </c>
      <c r="J36" s="2"/>
      <c r="K36" s="2"/>
      <c r="L36" s="41">
        <f t="shared" si="9"/>
        <v>315655.69</v>
      </c>
      <c r="M36" s="2"/>
      <c r="N36" s="2"/>
      <c r="O36" s="2"/>
      <c r="P36" s="2">
        <v>315655.69</v>
      </c>
      <c r="Q36" s="41">
        <f t="shared" si="10"/>
        <v>315655.69</v>
      </c>
      <c r="R36" s="2"/>
      <c r="S36" s="2"/>
      <c r="T36" s="2"/>
      <c r="U36" s="2">
        <v>315655.69</v>
      </c>
      <c r="V36" s="46">
        <f t="shared" si="11"/>
        <v>0</v>
      </c>
      <c r="W36" s="2"/>
      <c r="X36" s="2"/>
      <c r="Y36" s="2"/>
      <c r="Z36" s="2"/>
      <c r="AA36" s="7">
        <f t="shared" si="12"/>
        <v>0</v>
      </c>
      <c r="AB36" s="7">
        <f t="shared" si="14"/>
        <v>315655.69</v>
      </c>
      <c r="AC36" s="205" t="s">
        <v>343</v>
      </c>
    </row>
    <row r="37" spans="1:30" ht="29.45" customHeight="1" x14ac:dyDescent="0.25">
      <c r="A37" s="60" t="s">
        <v>61</v>
      </c>
      <c r="B37" s="3" t="s">
        <v>15</v>
      </c>
      <c r="C37" s="3">
        <v>226</v>
      </c>
      <c r="D37" s="27" t="s">
        <v>149</v>
      </c>
      <c r="E37" s="27"/>
      <c r="F37" s="2">
        <v>1013697.54</v>
      </c>
      <c r="G37" s="98"/>
      <c r="H37" s="253">
        <v>658903.4</v>
      </c>
      <c r="I37" s="7">
        <f t="shared" si="13"/>
        <v>354794.14</v>
      </c>
      <c r="J37" s="2"/>
      <c r="K37" s="2"/>
      <c r="L37" s="41">
        <f t="shared" si="9"/>
        <v>354794.14</v>
      </c>
      <c r="M37" s="2"/>
      <c r="N37" s="2"/>
      <c r="O37" s="2"/>
      <c r="P37" s="2">
        <v>354794.14</v>
      </c>
      <c r="Q37" s="41">
        <f t="shared" si="10"/>
        <v>354794.14</v>
      </c>
      <c r="R37" s="2"/>
      <c r="S37" s="2"/>
      <c r="T37" s="2"/>
      <c r="U37" s="2">
        <v>354794.14</v>
      </c>
      <c r="V37" s="46">
        <f t="shared" si="11"/>
        <v>0</v>
      </c>
      <c r="W37" s="2"/>
      <c r="X37" s="2"/>
      <c r="Y37" s="2"/>
      <c r="Z37" s="2"/>
      <c r="AA37" s="7">
        <f t="shared" si="12"/>
        <v>0</v>
      </c>
      <c r="AB37" s="7">
        <f t="shared" si="14"/>
        <v>354794.14</v>
      </c>
      <c r="AC37" s="205" t="s">
        <v>343</v>
      </c>
    </row>
    <row r="38" spans="1:30" s="65" customFormat="1" ht="37.5" customHeight="1" x14ac:dyDescent="0.25">
      <c r="A38" s="60" t="s">
        <v>120</v>
      </c>
      <c r="B38" s="61" t="s">
        <v>14</v>
      </c>
      <c r="C38" s="61">
        <v>226</v>
      </c>
      <c r="D38" s="66" t="s">
        <v>229</v>
      </c>
      <c r="E38" s="203" t="s">
        <v>341</v>
      </c>
      <c r="F38" s="7">
        <v>1297952.42</v>
      </c>
      <c r="G38" s="98"/>
      <c r="H38" s="253">
        <v>843669.07</v>
      </c>
      <c r="I38" s="7">
        <f t="shared" si="13"/>
        <v>454283.35</v>
      </c>
      <c r="J38" s="7"/>
      <c r="K38" s="7"/>
      <c r="L38" s="63">
        <f t="shared" si="9"/>
        <v>454283.35</v>
      </c>
      <c r="M38" s="7"/>
      <c r="N38" s="7"/>
      <c r="O38" s="7"/>
      <c r="P38" s="7">
        <v>454283.35</v>
      </c>
      <c r="Q38" s="63">
        <f t="shared" si="10"/>
        <v>454283.35</v>
      </c>
      <c r="R38" s="7"/>
      <c r="S38" s="7"/>
      <c r="T38" s="7"/>
      <c r="U38" s="7">
        <v>454283.35</v>
      </c>
      <c r="V38" s="64">
        <f t="shared" si="11"/>
        <v>0</v>
      </c>
      <c r="W38" s="7"/>
      <c r="X38" s="7"/>
      <c r="Y38" s="7"/>
      <c r="Z38" s="7">
        <v>0</v>
      </c>
      <c r="AA38" s="7">
        <f t="shared" si="12"/>
        <v>0</v>
      </c>
      <c r="AB38" s="7">
        <f t="shared" si="14"/>
        <v>454283.35</v>
      </c>
      <c r="AC38" s="205" t="s">
        <v>343</v>
      </c>
    </row>
    <row r="39" spans="1:30" s="65" customFormat="1" ht="77.25" customHeight="1" x14ac:dyDescent="0.25">
      <c r="A39" s="60" t="s">
        <v>121</v>
      </c>
      <c r="B39" s="61" t="s">
        <v>208</v>
      </c>
      <c r="C39" s="61">
        <v>226</v>
      </c>
      <c r="D39" s="66" t="s">
        <v>209</v>
      </c>
      <c r="E39" s="66"/>
      <c r="F39" s="7">
        <v>58020.91</v>
      </c>
      <c r="G39" s="98"/>
      <c r="H39" s="253"/>
      <c r="I39" s="7">
        <f t="shared" si="13"/>
        <v>58020.91</v>
      </c>
      <c r="J39" s="7"/>
      <c r="K39" s="7"/>
      <c r="L39" s="63">
        <f t="shared" si="9"/>
        <v>58020.91</v>
      </c>
      <c r="M39" s="7"/>
      <c r="N39" s="7"/>
      <c r="O39" s="7"/>
      <c r="P39" s="7">
        <v>58020.91</v>
      </c>
      <c r="Q39" s="63">
        <f t="shared" si="10"/>
        <v>58020.91</v>
      </c>
      <c r="R39" s="7"/>
      <c r="S39" s="7"/>
      <c r="T39" s="7"/>
      <c r="U39" s="7">
        <v>58020.91</v>
      </c>
      <c r="V39" s="64">
        <f t="shared" si="11"/>
        <v>17406.27</v>
      </c>
      <c r="W39" s="7"/>
      <c r="X39" s="7"/>
      <c r="Y39" s="7"/>
      <c r="Z39" s="7">
        <v>17406.27</v>
      </c>
      <c r="AA39" s="7">
        <f t="shared" si="12"/>
        <v>0</v>
      </c>
      <c r="AB39" s="7">
        <f t="shared" si="14"/>
        <v>40614.639999999999</v>
      </c>
      <c r="AC39" s="205" t="s">
        <v>343</v>
      </c>
    </row>
    <row r="40" spans="1:30" s="65" customFormat="1" ht="48.75" customHeight="1" x14ac:dyDescent="0.25">
      <c r="A40" s="60" t="s">
        <v>122</v>
      </c>
      <c r="B40" s="68" t="s">
        <v>248</v>
      </c>
      <c r="C40" s="68">
        <v>226</v>
      </c>
      <c r="D40" s="121" t="s">
        <v>308</v>
      </c>
      <c r="E40" s="121"/>
      <c r="F40" s="7">
        <v>1239</v>
      </c>
      <c r="G40" s="98"/>
      <c r="H40" s="253"/>
      <c r="I40" s="7">
        <f t="shared" si="13"/>
        <v>1239</v>
      </c>
      <c r="J40" s="7"/>
      <c r="K40" s="7"/>
      <c r="L40" s="63">
        <f>SUM(M40:P40)</f>
        <v>1239</v>
      </c>
      <c r="M40" s="7"/>
      <c r="N40" s="7"/>
      <c r="O40" s="7"/>
      <c r="P40" s="7">
        <v>1239</v>
      </c>
      <c r="Q40" s="63">
        <f t="shared" si="10"/>
        <v>1239</v>
      </c>
      <c r="R40" s="7"/>
      <c r="S40" s="7"/>
      <c r="T40" s="7"/>
      <c r="U40" s="7">
        <v>1239</v>
      </c>
      <c r="V40" s="64">
        <f t="shared" si="11"/>
        <v>1239</v>
      </c>
      <c r="W40" s="7"/>
      <c r="X40" s="7"/>
      <c r="Y40" s="7"/>
      <c r="Z40" s="7">
        <v>1239</v>
      </c>
      <c r="AA40" s="7">
        <f t="shared" si="12"/>
        <v>0</v>
      </c>
      <c r="AB40" s="7">
        <f t="shared" si="14"/>
        <v>0</v>
      </c>
      <c r="AC40" s="205" t="s">
        <v>343</v>
      </c>
    </row>
    <row r="41" spans="1:30" s="14" customFormat="1" ht="36" customHeight="1" x14ac:dyDescent="0.25">
      <c r="A41" s="11" t="s">
        <v>36</v>
      </c>
      <c r="B41" s="12" t="s">
        <v>16</v>
      </c>
      <c r="C41" s="12"/>
      <c r="D41" s="12"/>
      <c r="E41" s="12"/>
      <c r="F41" s="13">
        <f>SUM(F43:F56)</f>
        <v>95297394.469999999</v>
      </c>
      <c r="G41" s="102">
        <f>SUM(G43:G56)</f>
        <v>179001.49</v>
      </c>
      <c r="H41" s="258">
        <f>SUM(H43:H56)</f>
        <v>5423650</v>
      </c>
      <c r="I41" s="89">
        <f>SUM(I43:I56)</f>
        <v>89694742.980000004</v>
      </c>
      <c r="J41" s="13">
        <f>SUM(J43:J56)</f>
        <v>1701.22</v>
      </c>
      <c r="K41" s="13">
        <f>F41/J41</f>
        <v>56017.090364561904</v>
      </c>
      <c r="L41" s="40">
        <f t="shared" ref="L41:Z41" si="15">SUM(L43:L56)</f>
        <v>88410218.609999999</v>
      </c>
      <c r="M41" s="13">
        <f t="shared" si="15"/>
        <v>14474987.84</v>
      </c>
      <c r="N41" s="13">
        <f t="shared" si="15"/>
        <v>32700717.09</v>
      </c>
      <c r="O41" s="13">
        <f t="shared" si="15"/>
        <v>4002974.0300000003</v>
      </c>
      <c r="P41" s="13">
        <f t="shared" si="15"/>
        <v>37231539.650000006</v>
      </c>
      <c r="Q41" s="40">
        <f t="shared" si="15"/>
        <v>89694742.980000004</v>
      </c>
      <c r="R41" s="13">
        <f t="shared" si="15"/>
        <v>14474987.84</v>
      </c>
      <c r="S41" s="13">
        <f t="shared" si="15"/>
        <v>32700717.09</v>
      </c>
      <c r="T41" s="13">
        <f t="shared" si="15"/>
        <v>4002974.0300000003</v>
      </c>
      <c r="U41" s="13">
        <f t="shared" si="15"/>
        <v>38516064.020000003</v>
      </c>
      <c r="V41" s="40">
        <f t="shared" si="15"/>
        <v>16762849.000000002</v>
      </c>
      <c r="W41" s="13">
        <f t="shared" si="15"/>
        <v>4508185.0900000008</v>
      </c>
      <c r="X41" s="13">
        <f t="shared" si="15"/>
        <v>10900213.220000001</v>
      </c>
      <c r="Y41" s="13">
        <f t="shared" si="15"/>
        <v>1307156.4000000001</v>
      </c>
      <c r="Z41" s="13">
        <f t="shared" si="15"/>
        <v>47294.29</v>
      </c>
      <c r="AA41" s="40">
        <f>SUM(AA43:AA56)</f>
        <v>1284524.3700000001</v>
      </c>
      <c r="AB41" s="40">
        <f>SUM(AB43:AB56)</f>
        <v>41144718.360000007</v>
      </c>
      <c r="AC41" s="207"/>
    </row>
    <row r="42" spans="1:30" ht="117" customHeight="1" x14ac:dyDescent="0.25">
      <c r="A42" s="351" t="s">
        <v>62</v>
      </c>
      <c r="B42" s="1" t="s">
        <v>32</v>
      </c>
      <c r="C42" s="323">
        <v>310</v>
      </c>
      <c r="D42" s="318" t="s">
        <v>346</v>
      </c>
      <c r="E42" s="279"/>
      <c r="F42" s="76">
        <f>SUM(F43:F44)</f>
        <v>90059472</v>
      </c>
      <c r="G42" s="246">
        <f>SUM(G43:G44)</f>
        <v>0</v>
      </c>
      <c r="H42" s="259">
        <f>SUM(H43:H44)</f>
        <v>2244529.0499999998</v>
      </c>
      <c r="I42" s="250">
        <f>SUM(I43:I44)</f>
        <v>87814942.950000003</v>
      </c>
      <c r="J42" s="76">
        <f>SUM(J43:J44)</f>
        <v>1701.22</v>
      </c>
      <c r="K42" s="76">
        <f>F42/J42</f>
        <v>52938.169078661194</v>
      </c>
      <c r="L42" s="41">
        <f t="shared" ref="L42:R42" si="16">SUM(L43:L44)</f>
        <v>86530418.579999998</v>
      </c>
      <c r="M42" s="36">
        <f t="shared" si="16"/>
        <v>14474987.84</v>
      </c>
      <c r="N42" s="36">
        <f t="shared" si="16"/>
        <v>32700717.09</v>
      </c>
      <c r="O42" s="36">
        <f t="shared" si="16"/>
        <v>4002974.0300000003</v>
      </c>
      <c r="P42" s="36">
        <f t="shared" si="16"/>
        <v>35351739.620000005</v>
      </c>
      <c r="Q42" s="41">
        <f t="shared" si="16"/>
        <v>87814942.950000003</v>
      </c>
      <c r="R42" s="36">
        <f t="shared" si="16"/>
        <v>14474987.84</v>
      </c>
      <c r="S42" s="36">
        <f t="shared" ref="S42:Z42" si="17">SUM(S43:S44)</f>
        <v>32700717.09</v>
      </c>
      <c r="T42" s="36">
        <f t="shared" si="17"/>
        <v>4002974.0300000003</v>
      </c>
      <c r="U42" s="36">
        <f t="shared" si="17"/>
        <v>36636263.990000002</v>
      </c>
      <c r="V42" s="46">
        <f t="shared" si="17"/>
        <v>16715554.710000003</v>
      </c>
      <c r="W42" s="36">
        <f t="shared" si="17"/>
        <v>4508185.0900000008</v>
      </c>
      <c r="X42" s="36">
        <f t="shared" si="17"/>
        <v>10900213.220000001</v>
      </c>
      <c r="Y42" s="36">
        <f t="shared" si="17"/>
        <v>1307156.4000000001</v>
      </c>
      <c r="Z42" s="36">
        <f t="shared" si="17"/>
        <v>0</v>
      </c>
      <c r="AA42" s="46">
        <f>SUM(AA43:AA44)</f>
        <v>1284524.3700000001</v>
      </c>
      <c r="AB42" s="46">
        <f>SUM(AB43:AB44)</f>
        <v>39332081.620000005</v>
      </c>
    </row>
    <row r="43" spans="1:30" ht="17.25" customHeight="1" x14ac:dyDescent="0.25">
      <c r="A43" s="352"/>
      <c r="B43" s="1" t="s">
        <v>193</v>
      </c>
      <c r="C43" s="324"/>
      <c r="D43" s="319"/>
      <c r="E43" s="280"/>
      <c r="F43" s="132">
        <v>86968019.629999995</v>
      </c>
      <c r="G43" s="98"/>
      <c r="H43" s="260">
        <v>2244529.0499999998</v>
      </c>
      <c r="I43" s="7">
        <f>F43-G43-H43</f>
        <v>84723490.579999998</v>
      </c>
      <c r="J43" s="36">
        <v>1644.48</v>
      </c>
      <c r="K43" s="76"/>
      <c r="L43" s="41">
        <f t="shared" ref="L43:L55" si="18">SUM(M43:P43)</f>
        <v>84723490.579999998</v>
      </c>
      <c r="M43" s="36">
        <v>13316807.15</v>
      </c>
      <c r="N43" s="36">
        <v>32193298.649999999</v>
      </c>
      <c r="O43" s="129">
        <v>3861645.16</v>
      </c>
      <c r="P43" s="36">
        <f>5282728+30069011.62</f>
        <v>35351739.620000005</v>
      </c>
      <c r="Q43" s="41">
        <f t="shared" ref="Q43:Q55" si="19">SUM(R43:U43)</f>
        <v>84723490.579999998</v>
      </c>
      <c r="R43" s="36">
        <f>13922156.64-605349.49</f>
        <v>13316807.15</v>
      </c>
      <c r="S43" s="36">
        <f>33656956.04-1463657.39</f>
        <v>32193298.649999999</v>
      </c>
      <c r="T43" s="36">
        <f>4037167.33-175522.17</f>
        <v>3861645.16</v>
      </c>
      <c r="U43" s="36">
        <f>5282728+30069011.62</f>
        <v>35351739.620000005</v>
      </c>
      <c r="V43" s="46">
        <f>SUM(W43:Z43)</f>
        <v>16715554.710000003</v>
      </c>
      <c r="W43" s="129">
        <f>4362981.23+145203.86</f>
        <v>4508185.0900000008</v>
      </c>
      <c r="X43" s="129">
        <f>10549128.9+351084.32</f>
        <v>10900213.220000001</v>
      </c>
      <c r="Y43" s="129">
        <f>1265054.28+42102.12</f>
        <v>1307156.4000000001</v>
      </c>
      <c r="Z43" s="129">
        <v>0</v>
      </c>
      <c r="AA43" s="36">
        <f>T43-O43</f>
        <v>0</v>
      </c>
      <c r="AB43" s="36">
        <f>AA43+O43-Y43+P43</f>
        <v>37906228.380000003</v>
      </c>
      <c r="AC43" s="208">
        <f>O43+P43-Y43-Z43+AA43</f>
        <v>37906228.380000003</v>
      </c>
      <c r="AD43" s="49">
        <f>Y43+X43+W43+H43+Z43</f>
        <v>18960083.760000002</v>
      </c>
    </row>
    <row r="44" spans="1:30" ht="17.25" customHeight="1" x14ac:dyDescent="0.25">
      <c r="A44" s="353"/>
      <c r="B44" s="1" t="s">
        <v>194</v>
      </c>
      <c r="C44" s="325"/>
      <c r="D44" s="320"/>
      <c r="E44" s="281"/>
      <c r="F44" s="133">
        <v>3091452.37</v>
      </c>
      <c r="G44" s="108"/>
      <c r="H44" s="261">
        <v>0</v>
      </c>
      <c r="I44" s="7">
        <f t="shared" ref="I44:I54" si="20">F44-G44-H44</f>
        <v>3091452.37</v>
      </c>
      <c r="J44" s="36">
        <v>56.74</v>
      </c>
      <c r="K44" s="76"/>
      <c r="L44" s="41">
        <f t="shared" si="18"/>
        <v>1806928</v>
      </c>
      <c r="M44" s="36">
        <v>1158180.69</v>
      </c>
      <c r="N44" s="36">
        <v>507418.44</v>
      </c>
      <c r="O44" s="36">
        <v>141328.87</v>
      </c>
      <c r="P44" s="129">
        <v>0</v>
      </c>
      <c r="Q44" s="41">
        <f t="shared" si="19"/>
        <v>3091452.37</v>
      </c>
      <c r="R44" s="36">
        <v>1158180.69</v>
      </c>
      <c r="S44" s="36">
        <v>507418.44</v>
      </c>
      <c r="T44" s="36">
        <v>141328.87</v>
      </c>
      <c r="U44" s="36">
        <f>247044+1037480.37</f>
        <v>1284524.3700000001</v>
      </c>
      <c r="V44" s="46">
        <f>SUM(W44:Z44)</f>
        <v>0</v>
      </c>
      <c r="W44" s="129">
        <v>0</v>
      </c>
      <c r="X44" s="129">
        <v>0</v>
      </c>
      <c r="Y44" s="129">
        <v>0</v>
      </c>
      <c r="Z44" s="129">
        <v>0</v>
      </c>
      <c r="AA44" s="36">
        <f>U44-P44</f>
        <v>1284524.3700000001</v>
      </c>
      <c r="AB44" s="36">
        <f>AA44+O44</f>
        <v>1425853.2400000002</v>
      </c>
      <c r="AC44" s="208">
        <f>O44+P44-Y44-Z44+AA44</f>
        <v>1425853.2400000002</v>
      </c>
    </row>
    <row r="45" spans="1:30" ht="24" x14ac:dyDescent="0.25">
      <c r="A45" s="282" t="s">
        <v>63</v>
      </c>
      <c r="B45" s="3" t="s">
        <v>10</v>
      </c>
      <c r="C45" s="3">
        <v>226</v>
      </c>
      <c r="D45" s="25" t="s">
        <v>177</v>
      </c>
      <c r="E45" s="25"/>
      <c r="F45" s="2">
        <v>3340</v>
      </c>
      <c r="G45" s="98">
        <v>3340</v>
      </c>
      <c r="H45" s="253"/>
      <c r="I45" s="7">
        <f t="shared" si="20"/>
        <v>0</v>
      </c>
      <c r="J45" s="2"/>
      <c r="K45" s="2"/>
      <c r="L45" s="41">
        <f t="shared" si="18"/>
        <v>0</v>
      </c>
      <c r="M45" s="2"/>
      <c r="N45" s="2"/>
      <c r="O45" s="2"/>
      <c r="P45" s="2"/>
      <c r="Q45" s="41">
        <f t="shared" si="19"/>
        <v>0</v>
      </c>
      <c r="R45" s="2"/>
      <c r="S45" s="2"/>
      <c r="T45" s="2"/>
      <c r="U45" s="2"/>
      <c r="V45" s="46">
        <f t="shared" ref="V45:V55" si="21">SUM(W45:Z45)</f>
        <v>0</v>
      </c>
      <c r="W45" s="2"/>
      <c r="X45" s="2"/>
      <c r="Y45" s="2"/>
      <c r="Z45" s="2"/>
      <c r="AA45" s="2"/>
      <c r="AB45" s="2"/>
    </row>
    <row r="46" spans="1:30" s="8" customFormat="1" ht="51" customHeight="1" x14ac:dyDescent="0.25">
      <c r="A46" s="5" t="s">
        <v>64</v>
      </c>
      <c r="B46" s="1" t="s">
        <v>1</v>
      </c>
      <c r="C46" s="1">
        <v>226</v>
      </c>
      <c r="D46" s="28" t="s">
        <v>165</v>
      </c>
      <c r="E46" s="202">
        <v>41621</v>
      </c>
      <c r="F46" s="2">
        <v>175661.49</v>
      </c>
      <c r="G46" s="98">
        <v>175661.49</v>
      </c>
      <c r="H46" s="253"/>
      <c r="I46" s="7">
        <f t="shared" si="20"/>
        <v>0</v>
      </c>
      <c r="J46" s="2"/>
      <c r="K46" s="2"/>
      <c r="L46" s="41">
        <f t="shared" si="18"/>
        <v>0</v>
      </c>
      <c r="M46" s="2"/>
      <c r="N46" s="2"/>
      <c r="O46" s="2"/>
      <c r="P46" s="2"/>
      <c r="Q46" s="41">
        <f t="shared" si="19"/>
        <v>0</v>
      </c>
      <c r="R46" s="2"/>
      <c r="S46" s="2"/>
      <c r="T46" s="2"/>
      <c r="U46" s="2"/>
      <c r="V46" s="77">
        <f t="shared" si="21"/>
        <v>0</v>
      </c>
      <c r="W46" s="2"/>
      <c r="X46" s="2"/>
      <c r="Y46" s="2"/>
      <c r="Z46" s="2"/>
      <c r="AA46" s="2"/>
      <c r="AB46" s="2"/>
      <c r="AC46" s="205"/>
    </row>
    <row r="47" spans="1:30" s="8" customFormat="1" ht="27.6" customHeight="1" x14ac:dyDescent="0.25">
      <c r="A47" s="5" t="s">
        <v>65</v>
      </c>
      <c r="B47" s="1" t="s">
        <v>1</v>
      </c>
      <c r="C47" s="1">
        <v>226</v>
      </c>
      <c r="D47" s="25" t="s">
        <v>180</v>
      </c>
      <c r="E47" s="25"/>
      <c r="F47" s="2">
        <v>19644.400000000001</v>
      </c>
      <c r="G47" s="98"/>
      <c r="H47" s="253">
        <v>19644.400000000001</v>
      </c>
      <c r="I47" s="7">
        <f t="shared" si="20"/>
        <v>0</v>
      </c>
      <c r="J47" s="2"/>
      <c r="K47" s="2"/>
      <c r="L47" s="41">
        <f t="shared" si="18"/>
        <v>0</v>
      </c>
      <c r="M47" s="2"/>
      <c r="N47" s="2"/>
      <c r="O47" s="2"/>
      <c r="P47" s="2"/>
      <c r="Q47" s="41">
        <f t="shared" si="19"/>
        <v>0</v>
      </c>
      <c r="R47" s="2"/>
      <c r="S47" s="2"/>
      <c r="T47" s="2"/>
      <c r="U47" s="2"/>
      <c r="V47" s="77">
        <f t="shared" si="21"/>
        <v>0</v>
      </c>
      <c r="W47" s="2"/>
      <c r="X47" s="2"/>
      <c r="Y47" s="2"/>
      <c r="Z47" s="2"/>
      <c r="AA47" s="2"/>
      <c r="AB47" s="2"/>
      <c r="AC47" s="205"/>
    </row>
    <row r="48" spans="1:30" s="8" customFormat="1" ht="56.25" customHeight="1" x14ac:dyDescent="0.25">
      <c r="A48" s="5" t="s">
        <v>66</v>
      </c>
      <c r="B48" s="284" t="s">
        <v>378</v>
      </c>
      <c r="C48" s="1">
        <v>226</v>
      </c>
      <c r="D48" s="25" t="s">
        <v>379</v>
      </c>
      <c r="E48" s="203">
        <v>42004</v>
      </c>
      <c r="F48" s="2">
        <v>19869</v>
      </c>
      <c r="G48" s="98">
        <v>0</v>
      </c>
      <c r="H48" s="253">
        <v>0</v>
      </c>
      <c r="I48" s="7">
        <f t="shared" si="20"/>
        <v>19869</v>
      </c>
      <c r="J48" s="2"/>
      <c r="K48" s="2"/>
      <c r="L48" s="41">
        <f>SUM(M48:P48)</f>
        <v>19869</v>
      </c>
      <c r="M48" s="2"/>
      <c r="N48" s="2"/>
      <c r="O48" s="2"/>
      <c r="P48" s="2">
        <v>19869</v>
      </c>
      <c r="Q48" s="41">
        <f>SUM(R48:U48)</f>
        <v>19869</v>
      </c>
      <c r="R48" s="2"/>
      <c r="S48" s="2"/>
      <c r="T48" s="2"/>
      <c r="U48" s="2">
        <v>19869</v>
      </c>
      <c r="V48" s="77">
        <f t="shared" si="21"/>
        <v>0</v>
      </c>
      <c r="W48" s="2"/>
      <c r="X48" s="2"/>
      <c r="Y48" s="2"/>
      <c r="Z48" s="2"/>
      <c r="AA48" s="2"/>
      <c r="AB48" s="2"/>
      <c r="AC48" s="205"/>
    </row>
    <row r="49" spans="1:30" s="8" customFormat="1" ht="36" x14ac:dyDescent="0.25">
      <c r="A49" s="60" t="s">
        <v>67</v>
      </c>
      <c r="B49" s="1" t="s">
        <v>11</v>
      </c>
      <c r="C49" s="1">
        <v>226</v>
      </c>
      <c r="D49" s="25" t="s">
        <v>133</v>
      </c>
      <c r="E49" s="203">
        <v>41698</v>
      </c>
      <c r="F49" s="2">
        <v>933921.26</v>
      </c>
      <c r="G49" s="98"/>
      <c r="H49" s="253">
        <v>933921.26</v>
      </c>
      <c r="I49" s="7">
        <f t="shared" si="20"/>
        <v>0</v>
      </c>
      <c r="J49" s="2"/>
      <c r="K49" s="2"/>
      <c r="L49" s="41">
        <f t="shared" si="18"/>
        <v>0</v>
      </c>
      <c r="M49" s="2"/>
      <c r="N49" s="2"/>
      <c r="O49" s="2"/>
      <c r="P49" s="2"/>
      <c r="Q49" s="41">
        <f t="shared" si="19"/>
        <v>0</v>
      </c>
      <c r="R49" s="2"/>
      <c r="S49" s="2"/>
      <c r="T49" s="2"/>
      <c r="U49" s="2"/>
      <c r="V49" s="77">
        <f t="shared" si="21"/>
        <v>0</v>
      </c>
      <c r="W49" s="2"/>
      <c r="X49" s="2"/>
      <c r="Y49" s="2"/>
      <c r="Z49" s="2"/>
      <c r="AA49" s="2"/>
      <c r="AB49" s="2"/>
      <c r="AC49" s="205"/>
    </row>
    <row r="50" spans="1:30" s="65" customFormat="1" ht="24" x14ac:dyDescent="0.25">
      <c r="A50" s="282" t="s">
        <v>68</v>
      </c>
      <c r="B50" s="61" t="s">
        <v>20</v>
      </c>
      <c r="C50" s="61">
        <v>226</v>
      </c>
      <c r="D50" s="66" t="s">
        <v>126</v>
      </c>
      <c r="E50" s="66" t="s">
        <v>336</v>
      </c>
      <c r="F50" s="7">
        <v>152643.17000000001</v>
      </c>
      <c r="G50" s="98"/>
      <c r="H50" s="253">
        <v>3804.29</v>
      </c>
      <c r="I50" s="7">
        <f t="shared" si="20"/>
        <v>148838.88</v>
      </c>
      <c r="J50" s="7"/>
      <c r="K50" s="7"/>
      <c r="L50" s="63">
        <f t="shared" si="18"/>
        <v>148838.88</v>
      </c>
      <c r="M50" s="7"/>
      <c r="N50" s="7"/>
      <c r="O50" s="7"/>
      <c r="P50" s="7">
        <v>148838.88</v>
      </c>
      <c r="Q50" s="63">
        <f t="shared" si="19"/>
        <v>148838.88</v>
      </c>
      <c r="R50" s="7"/>
      <c r="S50" s="7"/>
      <c r="T50" s="7"/>
      <c r="U50" s="7">
        <v>148838.88</v>
      </c>
      <c r="V50" s="64">
        <f t="shared" si="21"/>
        <v>27418.920000000002</v>
      </c>
      <c r="W50" s="7"/>
      <c r="X50" s="7"/>
      <c r="Y50" s="7"/>
      <c r="Z50" s="7">
        <f>9615.78+15965.74+1837.4</f>
        <v>27418.920000000002</v>
      </c>
      <c r="AA50" s="7">
        <f t="shared" ref="AA50:AA56" si="22">U50-P50</f>
        <v>0</v>
      </c>
      <c r="AB50" s="7">
        <f>P50-Z50</f>
        <v>121419.96</v>
      </c>
      <c r="AC50" s="205" t="s">
        <v>343</v>
      </c>
    </row>
    <row r="51" spans="1:30" ht="36" x14ac:dyDescent="0.25">
      <c r="A51" s="282" t="s">
        <v>69</v>
      </c>
      <c r="B51" s="3" t="s">
        <v>12</v>
      </c>
      <c r="C51" s="3">
        <v>226</v>
      </c>
      <c r="D51" s="25" t="s">
        <v>138</v>
      </c>
      <c r="E51" s="203" t="s">
        <v>337</v>
      </c>
      <c r="F51" s="2">
        <v>838322.56</v>
      </c>
      <c r="G51" s="98"/>
      <c r="H51" s="253">
        <v>251496.77</v>
      </c>
      <c r="I51" s="7">
        <f t="shared" si="20"/>
        <v>586825.79</v>
      </c>
      <c r="J51" s="2"/>
      <c r="K51" s="2"/>
      <c r="L51" s="41">
        <f t="shared" si="18"/>
        <v>586825.79</v>
      </c>
      <c r="M51" s="2"/>
      <c r="N51" s="2"/>
      <c r="O51" s="2"/>
      <c r="P51" s="2">
        <v>586825.79</v>
      </c>
      <c r="Q51" s="41">
        <f t="shared" si="19"/>
        <v>586825.79</v>
      </c>
      <c r="R51" s="2"/>
      <c r="S51" s="2"/>
      <c r="T51" s="2"/>
      <c r="U51" s="2">
        <v>586825.79</v>
      </c>
      <c r="V51" s="46">
        <f t="shared" si="21"/>
        <v>0</v>
      </c>
      <c r="W51" s="2"/>
      <c r="X51" s="2"/>
      <c r="Y51" s="2"/>
      <c r="Z51" s="2"/>
      <c r="AA51" s="2">
        <f t="shared" si="22"/>
        <v>0</v>
      </c>
      <c r="AB51" s="2">
        <f t="shared" ref="AB51:AB56" si="23">P51-Z51</f>
        <v>586825.79</v>
      </c>
      <c r="AC51" s="205" t="s">
        <v>343</v>
      </c>
    </row>
    <row r="52" spans="1:30" ht="24" x14ac:dyDescent="0.25">
      <c r="A52" s="5" t="s">
        <v>70</v>
      </c>
      <c r="B52" s="3" t="s">
        <v>13</v>
      </c>
      <c r="C52" s="3">
        <v>226</v>
      </c>
      <c r="D52" s="26" t="s">
        <v>144</v>
      </c>
      <c r="E52" s="26"/>
      <c r="F52" s="2">
        <v>805673.58</v>
      </c>
      <c r="G52" s="98"/>
      <c r="H52" s="253">
        <v>523687.83</v>
      </c>
      <c r="I52" s="7">
        <f t="shared" si="20"/>
        <v>281985.74999999994</v>
      </c>
      <c r="J52" s="2"/>
      <c r="K52" s="2"/>
      <c r="L52" s="41">
        <f t="shared" si="18"/>
        <v>281985.75</v>
      </c>
      <c r="M52" s="2"/>
      <c r="N52" s="2"/>
      <c r="O52" s="2"/>
      <c r="P52" s="2">
        <v>281985.75</v>
      </c>
      <c r="Q52" s="41">
        <f t="shared" si="19"/>
        <v>281985.75</v>
      </c>
      <c r="R52" s="2"/>
      <c r="S52" s="2"/>
      <c r="T52" s="2"/>
      <c r="U52" s="2">
        <v>281985.75</v>
      </c>
      <c r="V52" s="46">
        <f t="shared" si="21"/>
        <v>0</v>
      </c>
      <c r="W52" s="2"/>
      <c r="X52" s="2"/>
      <c r="Y52" s="2"/>
      <c r="Z52" s="2"/>
      <c r="AA52" s="2">
        <f t="shared" si="22"/>
        <v>0</v>
      </c>
      <c r="AB52" s="2">
        <f t="shared" si="23"/>
        <v>281985.75</v>
      </c>
      <c r="AC52" s="205" t="s">
        <v>343</v>
      </c>
    </row>
    <row r="53" spans="1:30" s="8" customFormat="1" ht="24" x14ac:dyDescent="0.25">
      <c r="A53" s="60" t="s">
        <v>71</v>
      </c>
      <c r="B53" s="1" t="s">
        <v>15</v>
      </c>
      <c r="C53" s="1">
        <v>226</v>
      </c>
      <c r="D53" s="28" t="s">
        <v>150</v>
      </c>
      <c r="E53" s="28"/>
      <c r="F53" s="2">
        <v>909994.46</v>
      </c>
      <c r="G53" s="98"/>
      <c r="H53" s="253">
        <v>591496.4</v>
      </c>
      <c r="I53" s="7">
        <f t="shared" si="20"/>
        <v>318498.05999999994</v>
      </c>
      <c r="J53" s="2"/>
      <c r="K53" s="2"/>
      <c r="L53" s="41">
        <f t="shared" si="18"/>
        <v>318498.06</v>
      </c>
      <c r="M53" s="2"/>
      <c r="N53" s="2"/>
      <c r="O53" s="2"/>
      <c r="P53" s="2">
        <v>318498.06</v>
      </c>
      <c r="Q53" s="41">
        <f t="shared" si="19"/>
        <v>318498.06</v>
      </c>
      <c r="R53" s="2"/>
      <c r="S53" s="2"/>
      <c r="T53" s="2"/>
      <c r="U53" s="2">
        <v>318498.06</v>
      </c>
      <c r="V53" s="77">
        <f t="shared" si="21"/>
        <v>0</v>
      </c>
      <c r="W53" s="2"/>
      <c r="X53" s="2"/>
      <c r="Y53" s="2"/>
      <c r="Z53" s="2"/>
      <c r="AA53" s="2">
        <f t="shared" si="22"/>
        <v>0</v>
      </c>
      <c r="AB53" s="2">
        <f t="shared" si="23"/>
        <v>318498.06</v>
      </c>
      <c r="AC53" s="205" t="s">
        <v>343</v>
      </c>
    </row>
    <row r="54" spans="1:30" s="65" customFormat="1" ht="36" x14ac:dyDescent="0.25">
      <c r="A54" s="60" t="s">
        <v>210</v>
      </c>
      <c r="B54" s="61" t="s">
        <v>14</v>
      </c>
      <c r="C54" s="61">
        <v>226</v>
      </c>
      <c r="D54" s="66" t="s">
        <v>230</v>
      </c>
      <c r="E54" s="203" t="s">
        <v>341</v>
      </c>
      <c r="F54" s="7">
        <v>1315492.32</v>
      </c>
      <c r="G54" s="98"/>
      <c r="H54" s="253">
        <v>855070</v>
      </c>
      <c r="I54" s="7">
        <f t="shared" si="20"/>
        <v>460422.32000000007</v>
      </c>
      <c r="J54" s="7"/>
      <c r="K54" s="7"/>
      <c r="L54" s="63">
        <f t="shared" si="18"/>
        <v>460422.32</v>
      </c>
      <c r="M54" s="7"/>
      <c r="N54" s="7"/>
      <c r="O54" s="7"/>
      <c r="P54" s="7">
        <v>460422.32</v>
      </c>
      <c r="Q54" s="63">
        <f t="shared" si="19"/>
        <v>460422.32</v>
      </c>
      <c r="R54" s="7"/>
      <c r="S54" s="7"/>
      <c r="T54" s="7"/>
      <c r="U54" s="7">
        <v>460422.32</v>
      </c>
      <c r="V54" s="64">
        <f t="shared" si="21"/>
        <v>0</v>
      </c>
      <c r="W54" s="7"/>
      <c r="X54" s="7"/>
      <c r="Y54" s="7"/>
      <c r="Z54" s="7">
        <v>0</v>
      </c>
      <c r="AA54" s="7">
        <f t="shared" si="22"/>
        <v>0</v>
      </c>
      <c r="AB54" s="7">
        <f t="shared" si="23"/>
        <v>460422.32</v>
      </c>
      <c r="AC54" s="205" t="s">
        <v>343</v>
      </c>
    </row>
    <row r="55" spans="1:30" s="65" customFormat="1" ht="62.25" customHeight="1" x14ac:dyDescent="0.25">
      <c r="A55" s="60" t="s">
        <v>254</v>
      </c>
      <c r="B55" s="61" t="s">
        <v>208</v>
      </c>
      <c r="C55" s="61">
        <v>226</v>
      </c>
      <c r="D55" s="66" t="s">
        <v>211</v>
      </c>
      <c r="E55" s="66"/>
      <c r="F55" s="7">
        <v>62121.23</v>
      </c>
      <c r="G55" s="98"/>
      <c r="H55" s="253"/>
      <c r="I55" s="7">
        <f>F55-G55-H55</f>
        <v>62121.23</v>
      </c>
      <c r="J55" s="7"/>
      <c r="K55" s="7"/>
      <c r="L55" s="63">
        <f t="shared" si="18"/>
        <v>62121.23</v>
      </c>
      <c r="M55" s="7"/>
      <c r="N55" s="7"/>
      <c r="O55" s="7"/>
      <c r="P55" s="7">
        <v>62121.23</v>
      </c>
      <c r="Q55" s="63">
        <f t="shared" si="19"/>
        <v>62121.23</v>
      </c>
      <c r="R55" s="7"/>
      <c r="S55" s="7"/>
      <c r="T55" s="7"/>
      <c r="U55" s="7">
        <v>62121.23</v>
      </c>
      <c r="V55" s="64">
        <f t="shared" si="21"/>
        <v>18636.37</v>
      </c>
      <c r="W55" s="7"/>
      <c r="X55" s="7"/>
      <c r="Y55" s="7"/>
      <c r="Z55" s="7">
        <v>18636.37</v>
      </c>
      <c r="AA55" s="7">
        <f t="shared" si="22"/>
        <v>0</v>
      </c>
      <c r="AB55" s="7">
        <f>P55-Z55</f>
        <v>43484.86</v>
      </c>
      <c r="AC55" s="205" t="s">
        <v>343</v>
      </c>
    </row>
    <row r="56" spans="1:30" s="65" customFormat="1" ht="48.75" customHeight="1" x14ac:dyDescent="0.25">
      <c r="A56" s="60" t="s">
        <v>366</v>
      </c>
      <c r="B56" s="68" t="s">
        <v>248</v>
      </c>
      <c r="C56" s="68">
        <v>226</v>
      </c>
      <c r="D56" s="121" t="s">
        <v>308</v>
      </c>
      <c r="E56" s="121"/>
      <c r="F56" s="7">
        <v>1239</v>
      </c>
      <c r="G56" s="98"/>
      <c r="H56" s="253"/>
      <c r="I56" s="7">
        <f>F56-G56-H56</f>
        <v>1239</v>
      </c>
      <c r="J56" s="7"/>
      <c r="K56" s="7"/>
      <c r="L56" s="63">
        <f>SUM(M56:P56)</f>
        <v>1239</v>
      </c>
      <c r="M56" s="7"/>
      <c r="N56" s="7"/>
      <c r="O56" s="7"/>
      <c r="P56" s="7">
        <v>1239</v>
      </c>
      <c r="Q56" s="63">
        <f>SUM(R56:U56)</f>
        <v>1239</v>
      </c>
      <c r="R56" s="7"/>
      <c r="S56" s="7"/>
      <c r="T56" s="7"/>
      <c r="U56" s="7">
        <v>1239</v>
      </c>
      <c r="V56" s="64">
        <f>SUM(W56:Z56)</f>
        <v>1239</v>
      </c>
      <c r="W56" s="7"/>
      <c r="X56" s="7"/>
      <c r="Y56" s="7"/>
      <c r="Z56" s="7">
        <v>1239</v>
      </c>
      <c r="AA56" s="7">
        <f t="shared" si="22"/>
        <v>0</v>
      </c>
      <c r="AB56" s="7">
        <f t="shared" si="23"/>
        <v>0</v>
      </c>
      <c r="AC56" s="205" t="s">
        <v>343</v>
      </c>
    </row>
    <row r="57" spans="1:30" s="14" customFormat="1" ht="34.5" customHeight="1" x14ac:dyDescent="0.25">
      <c r="A57" s="11" t="s">
        <v>37</v>
      </c>
      <c r="B57" s="15" t="s">
        <v>3</v>
      </c>
      <c r="C57" s="15"/>
      <c r="D57" s="15"/>
      <c r="E57" s="15"/>
      <c r="F57" s="13">
        <f>SUM(F58:F71)</f>
        <v>126021294.63000003</v>
      </c>
      <c r="G57" s="102">
        <f>SUM(G58:G71)</f>
        <v>211789.5</v>
      </c>
      <c r="H57" s="258">
        <f>SUM(H58:H71)</f>
        <v>22341113.879999999</v>
      </c>
      <c r="I57" s="89">
        <f>SUM(I58:I71)</f>
        <v>103468391.25000001</v>
      </c>
      <c r="J57" s="13">
        <f>SUM(J58:J71)</f>
        <v>1761.37</v>
      </c>
      <c r="K57" s="13">
        <f>F57/J57</f>
        <v>71547.315231893372</v>
      </c>
      <c r="L57" s="40">
        <f>SUM(L58:L71)</f>
        <v>103468391.25000001</v>
      </c>
      <c r="M57" s="13">
        <f t="shared" ref="M57:AA57" si="24">SUM(M58:M71)</f>
        <v>10898179.220000001</v>
      </c>
      <c r="N57" s="13">
        <f t="shared" si="24"/>
        <v>26344736.050000001</v>
      </c>
      <c r="O57" s="13">
        <f t="shared" si="24"/>
        <v>3160411.37</v>
      </c>
      <c r="P57" s="13">
        <f t="shared" si="24"/>
        <v>63065064.609999992</v>
      </c>
      <c r="Q57" s="40">
        <f t="shared" si="24"/>
        <v>103468391.25</v>
      </c>
      <c r="R57" s="13">
        <f t="shared" si="24"/>
        <v>10898179.219999999</v>
      </c>
      <c r="S57" s="13">
        <f t="shared" si="24"/>
        <v>26344736.049999997</v>
      </c>
      <c r="T57" s="13">
        <f t="shared" si="24"/>
        <v>3160411.3699999996</v>
      </c>
      <c r="U57" s="13">
        <f t="shared" si="24"/>
        <v>63065064.609999992</v>
      </c>
      <c r="V57" s="40">
        <f t="shared" si="24"/>
        <v>57351670.979999997</v>
      </c>
      <c r="W57" s="13">
        <f t="shared" si="24"/>
        <v>10898179.220000001</v>
      </c>
      <c r="X57" s="13">
        <f t="shared" si="24"/>
        <v>26344736.050000001</v>
      </c>
      <c r="Y57" s="13">
        <f t="shared" si="24"/>
        <v>3160411.37</v>
      </c>
      <c r="Z57" s="13">
        <f t="shared" si="24"/>
        <v>16948344.34</v>
      </c>
      <c r="AA57" s="40">
        <f t="shared" si="24"/>
        <v>0</v>
      </c>
      <c r="AB57" s="40">
        <f>SUM(AB58:AB71)</f>
        <v>46096851.269999996</v>
      </c>
      <c r="AC57" s="207"/>
    </row>
    <row r="58" spans="1:30" ht="129.75" customHeight="1" x14ac:dyDescent="0.25">
      <c r="A58" s="282" t="s">
        <v>72</v>
      </c>
      <c r="B58" s="1" t="s">
        <v>32</v>
      </c>
      <c r="C58" s="3">
        <v>310</v>
      </c>
      <c r="D58" s="25" t="s">
        <v>347</v>
      </c>
      <c r="E58" s="25"/>
      <c r="F58" s="2">
        <v>118876369</v>
      </c>
      <c r="G58" s="98"/>
      <c r="H58" s="253">
        <v>17679693.350000001</v>
      </c>
      <c r="I58" s="7">
        <f t="shared" ref="I58:I68" si="25">F58-G58-H58</f>
        <v>101196675.65000001</v>
      </c>
      <c r="J58" s="129">
        <v>1761.37</v>
      </c>
      <c r="K58" s="36">
        <f>F58/J58</f>
        <v>67490.855981423549</v>
      </c>
      <c r="L58" s="41">
        <f>SUM(M58:P58)</f>
        <v>101196675.65000001</v>
      </c>
      <c r="M58" s="36">
        <v>10898179.220000001</v>
      </c>
      <c r="N58" s="36">
        <v>26344736.050000001</v>
      </c>
      <c r="O58" s="36">
        <v>3160411.37</v>
      </c>
      <c r="P58" s="36">
        <f>2860382+57932967.01</f>
        <v>60793349.009999998</v>
      </c>
      <c r="Q58" s="41">
        <f>SUM(R58:U58)</f>
        <v>101196675.64999999</v>
      </c>
      <c r="R58" s="36">
        <f>15666392.52-4768213.3</f>
        <v>10898179.219999999</v>
      </c>
      <c r="S58" s="36">
        <f>37873664.08-11528928.03</f>
        <v>26344736.049999997</v>
      </c>
      <c r="T58" s="36">
        <f>4542963.39-1382552.02</f>
        <v>3160411.3699999996</v>
      </c>
      <c r="U58" s="36">
        <f>2860382+57932967.01</f>
        <v>60793349.009999998</v>
      </c>
      <c r="V58" s="46">
        <f>SUM(W58:Z58)</f>
        <v>56386676.57</v>
      </c>
      <c r="W58" s="36">
        <v>10898179.220000001</v>
      </c>
      <c r="X58" s="36">
        <v>26344736.050000001</v>
      </c>
      <c r="Y58" s="36">
        <v>3160411.37</v>
      </c>
      <c r="Z58" s="129">
        <f>9677718.27+6305631.66</f>
        <v>15983349.93</v>
      </c>
      <c r="AA58" s="36">
        <f>T58-O58</f>
        <v>0</v>
      </c>
      <c r="AB58" s="36">
        <f>AA58+P58-Z58</f>
        <v>44809999.079999998</v>
      </c>
      <c r="AC58" s="208">
        <f>O58+P58-Y58-Z58+AA58</f>
        <v>44809999.079999998</v>
      </c>
      <c r="AD58" s="49">
        <f>Y58+X58+W58+H58+Z58</f>
        <v>74066369.920000002</v>
      </c>
    </row>
    <row r="59" spans="1:30" ht="24" x14ac:dyDescent="0.25">
      <c r="A59" s="282" t="s">
        <v>73</v>
      </c>
      <c r="B59" s="3" t="s">
        <v>10</v>
      </c>
      <c r="C59" s="3">
        <v>226</v>
      </c>
      <c r="D59" s="25" t="s">
        <v>178</v>
      </c>
      <c r="E59" s="25"/>
      <c r="F59" s="2">
        <v>5000</v>
      </c>
      <c r="G59" s="98">
        <v>5000</v>
      </c>
      <c r="H59" s="253"/>
      <c r="I59" s="7">
        <f t="shared" si="25"/>
        <v>0</v>
      </c>
      <c r="J59" s="2"/>
      <c r="K59" s="2"/>
      <c r="L59" s="41">
        <f t="shared" ref="L59:L70" si="26">SUM(M59:P59)</f>
        <v>0</v>
      </c>
      <c r="M59" s="2"/>
      <c r="N59" s="2"/>
      <c r="O59" s="2"/>
      <c r="P59" s="2"/>
      <c r="Q59" s="41">
        <f t="shared" ref="Q59:Q71" si="27">SUM(R59:U59)</f>
        <v>0</v>
      </c>
      <c r="R59" s="2"/>
      <c r="S59" s="2"/>
      <c r="T59" s="2"/>
      <c r="U59" s="2"/>
      <c r="V59" s="46">
        <f t="shared" ref="V59:V71" si="28">SUM(W59:Z59)</f>
        <v>0</v>
      </c>
      <c r="W59" s="2"/>
      <c r="X59" s="2"/>
      <c r="Y59" s="2"/>
      <c r="Z59" s="2"/>
      <c r="AA59" s="2"/>
      <c r="AB59" s="2"/>
    </row>
    <row r="60" spans="1:30" s="8" customFormat="1" ht="24" x14ac:dyDescent="0.25">
      <c r="A60" s="5" t="s">
        <v>74</v>
      </c>
      <c r="B60" s="1" t="s">
        <v>8</v>
      </c>
      <c r="C60" s="1">
        <v>226</v>
      </c>
      <c r="D60" s="25" t="s">
        <v>167</v>
      </c>
      <c r="E60" s="25"/>
      <c r="F60" s="2">
        <v>7500</v>
      </c>
      <c r="G60" s="98"/>
      <c r="H60" s="253">
        <v>7500</v>
      </c>
      <c r="I60" s="7">
        <f t="shared" si="25"/>
        <v>0</v>
      </c>
      <c r="J60" s="2"/>
      <c r="K60" s="2"/>
      <c r="L60" s="41">
        <f t="shared" si="26"/>
        <v>0</v>
      </c>
      <c r="M60" s="2"/>
      <c r="N60" s="2"/>
      <c r="O60" s="2"/>
      <c r="P60" s="2"/>
      <c r="Q60" s="41">
        <f t="shared" si="27"/>
        <v>0</v>
      </c>
      <c r="R60" s="2"/>
      <c r="S60" s="2"/>
      <c r="T60" s="2"/>
      <c r="U60" s="2"/>
      <c r="V60" s="77">
        <f t="shared" si="28"/>
        <v>0</v>
      </c>
      <c r="W60" s="2"/>
      <c r="X60" s="2"/>
      <c r="Y60" s="2"/>
      <c r="Z60" s="2"/>
      <c r="AA60" s="2"/>
      <c r="AB60" s="2"/>
      <c r="AC60" s="205"/>
    </row>
    <row r="61" spans="1:30" s="8" customFormat="1" ht="51.6" customHeight="1" x14ac:dyDescent="0.25">
      <c r="A61" s="5" t="s">
        <v>75</v>
      </c>
      <c r="B61" s="1" t="s">
        <v>1</v>
      </c>
      <c r="C61" s="1">
        <v>226</v>
      </c>
      <c r="D61" s="28" t="s">
        <v>165</v>
      </c>
      <c r="E61" s="202">
        <v>41621</v>
      </c>
      <c r="F61" s="2">
        <v>206789.5</v>
      </c>
      <c r="G61" s="98">
        <v>206789.5</v>
      </c>
      <c r="H61" s="253"/>
      <c r="I61" s="7">
        <f t="shared" si="25"/>
        <v>0</v>
      </c>
      <c r="J61" s="2"/>
      <c r="K61" s="2"/>
      <c r="L61" s="41">
        <f t="shared" si="26"/>
        <v>0</v>
      </c>
      <c r="M61" s="2"/>
      <c r="N61" s="2"/>
      <c r="O61" s="2"/>
      <c r="P61" s="2"/>
      <c r="Q61" s="41">
        <f t="shared" si="27"/>
        <v>0</v>
      </c>
      <c r="R61" s="2"/>
      <c r="S61" s="2"/>
      <c r="T61" s="2"/>
      <c r="U61" s="2"/>
      <c r="V61" s="77">
        <f t="shared" si="28"/>
        <v>0</v>
      </c>
      <c r="W61" s="2"/>
      <c r="X61" s="2"/>
      <c r="Y61" s="2"/>
      <c r="Z61" s="2"/>
      <c r="AA61" s="2"/>
      <c r="AB61" s="2"/>
      <c r="AC61" s="205"/>
    </row>
    <row r="62" spans="1:30" s="8" customFormat="1" ht="26.45" customHeight="1" x14ac:dyDescent="0.25">
      <c r="A62" s="5" t="s">
        <v>76</v>
      </c>
      <c r="B62" s="1" t="s">
        <v>1</v>
      </c>
      <c r="C62" s="1">
        <v>226</v>
      </c>
      <c r="D62" s="25" t="s">
        <v>180</v>
      </c>
      <c r="E62" s="25"/>
      <c r="F62" s="2">
        <v>19644.400000000001</v>
      </c>
      <c r="G62" s="98"/>
      <c r="H62" s="253">
        <v>19644.400000000001</v>
      </c>
      <c r="I62" s="7">
        <f t="shared" si="25"/>
        <v>0</v>
      </c>
      <c r="J62" s="2"/>
      <c r="K62" s="2"/>
      <c r="L62" s="41">
        <f t="shared" si="26"/>
        <v>0</v>
      </c>
      <c r="M62" s="2"/>
      <c r="N62" s="2"/>
      <c r="O62" s="2"/>
      <c r="P62" s="2"/>
      <c r="Q62" s="41">
        <f t="shared" si="27"/>
        <v>0</v>
      </c>
      <c r="R62" s="2"/>
      <c r="S62" s="2"/>
      <c r="T62" s="2"/>
      <c r="U62" s="2"/>
      <c r="V62" s="77">
        <f t="shared" si="28"/>
        <v>0</v>
      </c>
      <c r="W62" s="2"/>
      <c r="X62" s="2"/>
      <c r="Y62" s="2"/>
      <c r="Z62" s="2"/>
      <c r="AA62" s="2"/>
      <c r="AB62" s="2"/>
      <c r="AC62" s="205"/>
    </row>
    <row r="63" spans="1:30" s="8" customFormat="1" ht="56.25" customHeight="1" x14ac:dyDescent="0.25">
      <c r="A63" s="5" t="s">
        <v>77</v>
      </c>
      <c r="B63" s="284" t="s">
        <v>378</v>
      </c>
      <c r="C63" s="1">
        <v>226</v>
      </c>
      <c r="D63" s="25" t="s">
        <v>379</v>
      </c>
      <c r="E63" s="203">
        <v>42004</v>
      </c>
      <c r="F63" s="2">
        <v>19869</v>
      </c>
      <c r="G63" s="98">
        <v>0</v>
      </c>
      <c r="H63" s="253">
        <v>0</v>
      </c>
      <c r="I63" s="7">
        <f t="shared" si="25"/>
        <v>19869</v>
      </c>
      <c r="J63" s="2"/>
      <c r="K63" s="2"/>
      <c r="L63" s="41">
        <f>SUM(M63:P63)</f>
        <v>19869</v>
      </c>
      <c r="M63" s="2"/>
      <c r="N63" s="2"/>
      <c r="O63" s="2"/>
      <c r="P63" s="2">
        <v>19869</v>
      </c>
      <c r="Q63" s="41">
        <f t="shared" si="27"/>
        <v>19869</v>
      </c>
      <c r="R63" s="2"/>
      <c r="S63" s="2"/>
      <c r="T63" s="2"/>
      <c r="U63" s="2">
        <v>19869</v>
      </c>
      <c r="V63" s="77">
        <f t="shared" si="28"/>
        <v>0</v>
      </c>
      <c r="W63" s="2"/>
      <c r="X63" s="2"/>
      <c r="Y63" s="2"/>
      <c r="Z63" s="2"/>
      <c r="AA63" s="2"/>
      <c r="AB63" s="2"/>
      <c r="AC63" s="205"/>
    </row>
    <row r="64" spans="1:30" s="8" customFormat="1" ht="36" x14ac:dyDescent="0.25">
      <c r="A64" s="60" t="s">
        <v>78</v>
      </c>
      <c r="B64" s="1" t="s">
        <v>11</v>
      </c>
      <c r="C64" s="1">
        <v>226</v>
      </c>
      <c r="D64" s="25" t="s">
        <v>124</v>
      </c>
      <c r="E64" s="25"/>
      <c r="F64" s="2">
        <v>1524947.4</v>
      </c>
      <c r="G64" s="98"/>
      <c r="H64" s="253">
        <v>1524947.4</v>
      </c>
      <c r="I64" s="7">
        <f t="shared" si="25"/>
        <v>0</v>
      </c>
      <c r="J64" s="2"/>
      <c r="K64" s="2"/>
      <c r="L64" s="41">
        <f t="shared" si="26"/>
        <v>0</v>
      </c>
      <c r="M64" s="2"/>
      <c r="N64" s="2"/>
      <c r="O64" s="2"/>
      <c r="P64" s="2"/>
      <c r="Q64" s="41">
        <f t="shared" si="27"/>
        <v>0</v>
      </c>
      <c r="R64" s="2"/>
      <c r="S64" s="2"/>
      <c r="T64" s="2"/>
      <c r="U64" s="2"/>
      <c r="V64" s="77">
        <f t="shared" si="28"/>
        <v>0</v>
      </c>
      <c r="W64" s="2"/>
      <c r="X64" s="2"/>
      <c r="Y64" s="2"/>
      <c r="Z64" s="2"/>
      <c r="AA64" s="2"/>
      <c r="AB64" s="2"/>
      <c r="AC64" s="205"/>
    </row>
    <row r="65" spans="1:30" s="65" customFormat="1" ht="24" x14ac:dyDescent="0.25">
      <c r="A65" s="282" t="s">
        <v>79</v>
      </c>
      <c r="B65" s="61" t="s">
        <v>20</v>
      </c>
      <c r="C65" s="61">
        <v>226</v>
      </c>
      <c r="D65" s="66" t="s">
        <v>127</v>
      </c>
      <c r="E65" s="66" t="s">
        <v>336</v>
      </c>
      <c r="F65" s="7">
        <v>201485.37</v>
      </c>
      <c r="G65" s="98"/>
      <c r="H65" s="253">
        <v>19577.61</v>
      </c>
      <c r="I65" s="7">
        <f t="shared" si="25"/>
        <v>181907.76</v>
      </c>
      <c r="J65" s="7"/>
      <c r="K65" s="7"/>
      <c r="L65" s="63">
        <f t="shared" si="26"/>
        <v>181907.76</v>
      </c>
      <c r="M65" s="7"/>
      <c r="N65" s="7"/>
      <c r="O65" s="7"/>
      <c r="P65" s="7">
        <v>181907.76</v>
      </c>
      <c r="Q65" s="63">
        <f t="shared" si="27"/>
        <v>181907.76</v>
      </c>
      <c r="R65" s="7"/>
      <c r="S65" s="7"/>
      <c r="T65" s="7"/>
      <c r="U65" s="7">
        <v>181907.76</v>
      </c>
      <c r="V65" s="64">
        <f t="shared" si="28"/>
        <v>105958.61</v>
      </c>
      <c r="W65" s="7"/>
      <c r="X65" s="7"/>
      <c r="Y65" s="7"/>
      <c r="Z65" s="7">
        <f>63220.24+42738.37</f>
        <v>105958.61</v>
      </c>
      <c r="AA65" s="7">
        <f t="shared" ref="AA65:AA71" si="29">U65-P65</f>
        <v>0</v>
      </c>
      <c r="AB65" s="7">
        <f t="shared" ref="AB65:AB71" si="30">P65-Z65</f>
        <v>75949.150000000009</v>
      </c>
      <c r="AC65" s="205" t="s">
        <v>343</v>
      </c>
    </row>
    <row r="66" spans="1:30" ht="36" x14ac:dyDescent="0.25">
      <c r="A66" s="282" t="s">
        <v>80</v>
      </c>
      <c r="B66" s="3" t="s">
        <v>12</v>
      </c>
      <c r="C66" s="3">
        <v>226</v>
      </c>
      <c r="D66" s="25" t="s">
        <v>139</v>
      </c>
      <c r="E66" s="203" t="s">
        <v>337</v>
      </c>
      <c r="F66" s="2">
        <v>635026.84</v>
      </c>
      <c r="G66" s="98"/>
      <c r="H66" s="253">
        <v>190508.05</v>
      </c>
      <c r="I66" s="7">
        <f t="shared" si="25"/>
        <v>444518.79</v>
      </c>
      <c r="J66" s="2"/>
      <c r="K66" s="2"/>
      <c r="L66" s="41">
        <f t="shared" si="26"/>
        <v>444518.79</v>
      </c>
      <c r="M66" s="2"/>
      <c r="N66" s="2"/>
      <c r="O66" s="2"/>
      <c r="P66" s="2">
        <v>444518.79</v>
      </c>
      <c r="Q66" s="41">
        <f t="shared" si="27"/>
        <v>444518.79</v>
      </c>
      <c r="R66" s="2"/>
      <c r="S66" s="2"/>
      <c r="T66" s="2"/>
      <c r="U66" s="2">
        <v>444518.79</v>
      </c>
      <c r="V66" s="46">
        <f t="shared" si="28"/>
        <v>0</v>
      </c>
      <c r="W66" s="2"/>
      <c r="X66" s="2"/>
      <c r="Y66" s="2"/>
      <c r="Z66" s="2"/>
      <c r="AA66" s="2">
        <f t="shared" si="29"/>
        <v>0</v>
      </c>
      <c r="AB66" s="7">
        <f t="shared" si="30"/>
        <v>444518.79</v>
      </c>
      <c r="AC66" s="205" t="s">
        <v>343</v>
      </c>
    </row>
    <row r="67" spans="1:30" ht="24" x14ac:dyDescent="0.25">
      <c r="A67" s="5" t="s">
        <v>81</v>
      </c>
      <c r="B67" s="3" t="s">
        <v>13</v>
      </c>
      <c r="C67" s="3">
        <v>226</v>
      </c>
      <c r="D67" s="26" t="s">
        <v>147</v>
      </c>
      <c r="E67" s="26"/>
      <c r="F67" s="2">
        <v>1147182.98</v>
      </c>
      <c r="G67" s="98"/>
      <c r="H67" s="253">
        <v>745668.94</v>
      </c>
      <c r="I67" s="7">
        <f t="shared" si="25"/>
        <v>401514.04000000004</v>
      </c>
      <c r="J67" s="2"/>
      <c r="K67" s="2"/>
      <c r="L67" s="41">
        <f t="shared" si="26"/>
        <v>401514.04</v>
      </c>
      <c r="M67" s="2"/>
      <c r="N67" s="2"/>
      <c r="O67" s="2"/>
      <c r="P67" s="2">
        <v>401514.04</v>
      </c>
      <c r="Q67" s="41">
        <f t="shared" si="27"/>
        <v>401514.04</v>
      </c>
      <c r="R67" s="2"/>
      <c r="S67" s="2"/>
      <c r="T67" s="2"/>
      <c r="U67" s="2">
        <v>401514.04</v>
      </c>
      <c r="V67" s="46">
        <f t="shared" si="28"/>
        <v>401514.04</v>
      </c>
      <c r="W67" s="2"/>
      <c r="X67" s="2"/>
      <c r="Y67" s="2"/>
      <c r="Z67" s="2">
        <v>401514.04</v>
      </c>
      <c r="AA67" s="2">
        <f t="shared" si="29"/>
        <v>0</v>
      </c>
      <c r="AB67" s="7">
        <f t="shared" si="30"/>
        <v>0</v>
      </c>
      <c r="AC67" s="205" t="s">
        <v>343</v>
      </c>
    </row>
    <row r="68" spans="1:30" s="8" customFormat="1" ht="24" x14ac:dyDescent="0.25">
      <c r="A68" s="60" t="s">
        <v>82</v>
      </c>
      <c r="B68" s="1" t="s">
        <v>15</v>
      </c>
      <c r="C68" s="1">
        <v>226</v>
      </c>
      <c r="D68" s="28" t="s">
        <v>152</v>
      </c>
      <c r="E68" s="28"/>
      <c r="F68" s="2">
        <v>1249622.03</v>
      </c>
      <c r="G68" s="98"/>
      <c r="H68" s="253">
        <v>812254.32</v>
      </c>
      <c r="I68" s="7">
        <f t="shared" si="25"/>
        <v>437367.71000000008</v>
      </c>
      <c r="J68" s="2"/>
      <c r="K68" s="2"/>
      <c r="L68" s="41">
        <f t="shared" si="26"/>
        <v>437367.71</v>
      </c>
      <c r="M68" s="2"/>
      <c r="N68" s="2"/>
      <c r="O68" s="2"/>
      <c r="P68" s="2">
        <v>437367.71</v>
      </c>
      <c r="Q68" s="41">
        <f t="shared" si="27"/>
        <v>437367.71</v>
      </c>
      <c r="R68" s="2"/>
      <c r="S68" s="2"/>
      <c r="T68" s="2"/>
      <c r="U68" s="2">
        <v>437367.71</v>
      </c>
      <c r="V68" s="77">
        <f t="shared" si="28"/>
        <v>437367.71</v>
      </c>
      <c r="W68" s="2"/>
      <c r="X68" s="2"/>
      <c r="Y68" s="2"/>
      <c r="Z68" s="2">
        <v>437367.71</v>
      </c>
      <c r="AA68" s="2">
        <f t="shared" si="29"/>
        <v>0</v>
      </c>
      <c r="AB68" s="7">
        <f t="shared" si="30"/>
        <v>0</v>
      </c>
      <c r="AC68" s="205" t="s">
        <v>343</v>
      </c>
    </row>
    <row r="69" spans="1:30" s="65" customFormat="1" ht="36" x14ac:dyDescent="0.25">
      <c r="A69" s="60" t="s">
        <v>212</v>
      </c>
      <c r="B69" s="61" t="s">
        <v>14</v>
      </c>
      <c r="C69" s="61">
        <v>226</v>
      </c>
      <c r="D69" s="66" t="s">
        <v>231</v>
      </c>
      <c r="E69" s="203" t="s">
        <v>341</v>
      </c>
      <c r="F69" s="7">
        <v>2063568.95</v>
      </c>
      <c r="G69" s="98"/>
      <c r="H69" s="253">
        <v>1341319.81</v>
      </c>
      <c r="I69" s="7">
        <f>F69-G69-H69</f>
        <v>722249.1399999999</v>
      </c>
      <c r="J69" s="7"/>
      <c r="K69" s="7"/>
      <c r="L69" s="63">
        <f t="shared" si="26"/>
        <v>722249.14</v>
      </c>
      <c r="M69" s="7"/>
      <c r="N69" s="7"/>
      <c r="O69" s="7"/>
      <c r="P69" s="7">
        <v>722249.14</v>
      </c>
      <c r="Q69" s="63">
        <f t="shared" si="27"/>
        <v>722249.14</v>
      </c>
      <c r="R69" s="7"/>
      <c r="S69" s="7"/>
      <c r="T69" s="7"/>
      <c r="U69" s="7">
        <v>722249.14</v>
      </c>
      <c r="V69" s="64">
        <f t="shared" si="28"/>
        <v>0</v>
      </c>
      <c r="W69" s="7"/>
      <c r="X69" s="7"/>
      <c r="Y69" s="7"/>
      <c r="Z69" s="7">
        <v>0</v>
      </c>
      <c r="AA69" s="7">
        <f t="shared" si="29"/>
        <v>0</v>
      </c>
      <c r="AB69" s="7">
        <f t="shared" si="30"/>
        <v>722249.14</v>
      </c>
      <c r="AC69" s="205" t="s">
        <v>343</v>
      </c>
    </row>
    <row r="70" spans="1:30" s="65" customFormat="1" ht="78.75" x14ac:dyDescent="0.25">
      <c r="A70" s="60" t="s">
        <v>253</v>
      </c>
      <c r="B70" s="61" t="s">
        <v>208</v>
      </c>
      <c r="C70" s="61">
        <v>226</v>
      </c>
      <c r="D70" s="66" t="s">
        <v>213</v>
      </c>
      <c r="E70" s="66"/>
      <c r="F70" s="7">
        <v>63050.16</v>
      </c>
      <c r="G70" s="98"/>
      <c r="H70" s="253"/>
      <c r="I70" s="7">
        <f>F70-G70-H70</f>
        <v>63050.16</v>
      </c>
      <c r="J70" s="7"/>
      <c r="K70" s="7"/>
      <c r="L70" s="63">
        <f t="shared" si="26"/>
        <v>63050.16</v>
      </c>
      <c r="M70" s="7"/>
      <c r="N70" s="7"/>
      <c r="O70" s="7"/>
      <c r="P70" s="7">
        <v>63050.16</v>
      </c>
      <c r="Q70" s="63">
        <f t="shared" si="27"/>
        <v>63050.16</v>
      </c>
      <c r="R70" s="7"/>
      <c r="S70" s="7"/>
      <c r="T70" s="7"/>
      <c r="U70" s="7">
        <v>63050.16</v>
      </c>
      <c r="V70" s="64">
        <f t="shared" si="28"/>
        <v>18915.05</v>
      </c>
      <c r="W70" s="7"/>
      <c r="X70" s="7"/>
      <c r="Y70" s="7"/>
      <c r="Z70" s="7">
        <v>18915.05</v>
      </c>
      <c r="AA70" s="7">
        <f t="shared" si="29"/>
        <v>0</v>
      </c>
      <c r="AB70" s="7">
        <f t="shared" si="30"/>
        <v>44135.11</v>
      </c>
      <c r="AC70" s="205" t="s">
        <v>343</v>
      </c>
    </row>
    <row r="71" spans="1:30" s="65" customFormat="1" ht="48.75" customHeight="1" x14ac:dyDescent="0.25">
      <c r="A71" s="60" t="s">
        <v>380</v>
      </c>
      <c r="B71" s="68" t="s">
        <v>248</v>
      </c>
      <c r="C71" s="68">
        <v>226</v>
      </c>
      <c r="D71" s="121" t="s">
        <v>308</v>
      </c>
      <c r="E71" s="121"/>
      <c r="F71" s="7">
        <v>1239</v>
      </c>
      <c r="G71" s="98"/>
      <c r="H71" s="253"/>
      <c r="I71" s="7">
        <f>F71-G71-H71</f>
        <v>1239</v>
      </c>
      <c r="J71" s="7"/>
      <c r="K71" s="7"/>
      <c r="L71" s="63">
        <f>SUM(M71:P71)</f>
        <v>1239</v>
      </c>
      <c r="M71" s="7"/>
      <c r="N71" s="7"/>
      <c r="O71" s="7"/>
      <c r="P71" s="7">
        <v>1239</v>
      </c>
      <c r="Q71" s="63">
        <f t="shared" si="27"/>
        <v>1239</v>
      </c>
      <c r="R71" s="7"/>
      <c r="S71" s="7"/>
      <c r="T71" s="7"/>
      <c r="U71" s="7">
        <v>1239</v>
      </c>
      <c r="V71" s="64">
        <f t="shared" si="28"/>
        <v>1239</v>
      </c>
      <c r="W71" s="7"/>
      <c r="X71" s="7"/>
      <c r="Y71" s="7"/>
      <c r="Z71" s="7">
        <v>1239</v>
      </c>
      <c r="AA71" s="7">
        <f t="shared" si="29"/>
        <v>0</v>
      </c>
      <c r="AB71" s="7">
        <f t="shared" si="30"/>
        <v>0</v>
      </c>
      <c r="AC71" s="205" t="s">
        <v>343</v>
      </c>
    </row>
    <row r="72" spans="1:30" s="14" customFormat="1" x14ac:dyDescent="0.25">
      <c r="A72" s="11" t="s">
        <v>38</v>
      </c>
      <c r="B72" s="12" t="s">
        <v>4</v>
      </c>
      <c r="C72" s="12"/>
      <c r="D72" s="12"/>
      <c r="E72" s="12"/>
      <c r="F72" s="13">
        <f>SUM(F73:F86)</f>
        <v>94542108.709999993</v>
      </c>
      <c r="G72" s="102">
        <f>SUM(G73:G86)</f>
        <v>211789.5</v>
      </c>
      <c r="H72" s="258">
        <f>SUM(H73:H86)</f>
        <v>12900728.83</v>
      </c>
      <c r="I72" s="89">
        <f>SUM(I73:I86)</f>
        <v>81429590.379999995</v>
      </c>
      <c r="J72" s="13">
        <f>SUM(J73:J86)</f>
        <v>1485.68</v>
      </c>
      <c r="K72" s="13">
        <f>F72/J72</f>
        <v>63635.580145118729</v>
      </c>
      <c r="L72" s="40">
        <f>SUM(L73:L86)</f>
        <v>1613035.0599999998</v>
      </c>
      <c r="M72" s="13">
        <f t="shared" ref="M72:AA72" si="31">SUM(M73:M86)</f>
        <v>10590571.779999999</v>
      </c>
      <c r="N72" s="13">
        <f t="shared" si="31"/>
        <v>25601938.489999998</v>
      </c>
      <c r="O72" s="13">
        <f t="shared" si="31"/>
        <v>3071141.46</v>
      </c>
      <c r="P72" s="13">
        <f t="shared" si="31"/>
        <v>42165938.649999991</v>
      </c>
      <c r="Q72" s="40">
        <f t="shared" si="31"/>
        <v>81429590.38000001</v>
      </c>
      <c r="R72" s="13">
        <f t="shared" si="31"/>
        <v>10590571.780000001</v>
      </c>
      <c r="S72" s="13">
        <f t="shared" si="31"/>
        <v>25601938.490000002</v>
      </c>
      <c r="T72" s="13">
        <f t="shared" si="31"/>
        <v>3071141.46</v>
      </c>
      <c r="U72" s="13">
        <f t="shared" si="31"/>
        <v>42165938.649999991</v>
      </c>
      <c r="V72" s="40">
        <f t="shared" si="31"/>
        <v>51276677.469999999</v>
      </c>
      <c r="W72" s="13">
        <f t="shared" si="31"/>
        <v>10590571.780000001</v>
      </c>
      <c r="X72" s="13">
        <f t="shared" si="31"/>
        <v>25601938.489999998</v>
      </c>
      <c r="Y72" s="13">
        <f t="shared" si="31"/>
        <v>3071141.46</v>
      </c>
      <c r="Z72" s="13">
        <f t="shared" si="31"/>
        <v>12013025.739999998</v>
      </c>
      <c r="AA72" s="40">
        <f t="shared" si="31"/>
        <v>0</v>
      </c>
      <c r="AB72" s="40">
        <f>SUM(AB73:AB86)</f>
        <v>41308859.539999999</v>
      </c>
      <c r="AC72" s="207"/>
    </row>
    <row r="73" spans="1:30" ht="118.5" customHeight="1" x14ac:dyDescent="0.25">
      <c r="A73" s="282" t="s">
        <v>83</v>
      </c>
      <c r="B73" s="1" t="s">
        <v>32</v>
      </c>
      <c r="C73" s="3">
        <v>310</v>
      </c>
      <c r="D73" s="25" t="s">
        <v>348</v>
      </c>
      <c r="E73" s="25"/>
      <c r="F73" s="2">
        <v>88812983.599999994</v>
      </c>
      <c r="G73" s="98"/>
      <c r="H73" s="253">
        <v>8996428.2799999993</v>
      </c>
      <c r="I73" s="7">
        <f t="shared" ref="I73:I83" si="32">F73-G73-H73</f>
        <v>79816555.319999993</v>
      </c>
      <c r="J73" s="129">
        <v>1485.68</v>
      </c>
      <c r="K73" s="36">
        <f>F73/J73</f>
        <v>59779.34925421355</v>
      </c>
      <c r="L73" s="41"/>
      <c r="M73" s="36">
        <v>10590571.779999999</v>
      </c>
      <c r="N73" s="36">
        <v>25601938.489999998</v>
      </c>
      <c r="O73" s="129">
        <v>3071141.46</v>
      </c>
      <c r="P73" s="36">
        <f>3144448+37408455.59</f>
        <v>40552903.590000004</v>
      </c>
      <c r="Q73" s="41">
        <f>SUM(R73:U73)</f>
        <v>79816555.320000008</v>
      </c>
      <c r="R73" s="36">
        <f>13016908.49-2426336.71</f>
        <v>10590571.780000001</v>
      </c>
      <c r="S73" s="36">
        <f>31468509.37-5866570.88</f>
        <v>25601938.490000002</v>
      </c>
      <c r="T73" s="36">
        <f>3774662.15-703520.69</f>
        <v>3071141.46</v>
      </c>
      <c r="U73" s="36">
        <f>3144448+37408455.59</f>
        <v>40552903.590000004</v>
      </c>
      <c r="V73" s="46">
        <f>SUM(W73:Z73)</f>
        <v>50439467.359999999</v>
      </c>
      <c r="W73" s="129">
        <f>8778543.38+1318654.98+493373.42</f>
        <v>10590571.780000001</v>
      </c>
      <c r="X73" s="129">
        <f>21225391.69+3188338.56+1188208.24</f>
        <v>25601938.489999998</v>
      </c>
      <c r="Y73" s="129">
        <f>2545354.45+382346.38+143440.63</f>
        <v>3071141.46</v>
      </c>
      <c r="Z73" s="129">
        <f>5397561.43+5778254.2</f>
        <v>11175815.629999999</v>
      </c>
      <c r="AA73" s="36">
        <f>T73-O73</f>
        <v>0</v>
      </c>
      <c r="AB73" s="36">
        <f>AA73+O73-Y73+P73</f>
        <v>40552903.590000004</v>
      </c>
      <c r="AC73" s="208">
        <f>O73+P73-Y73-Z73+AA73</f>
        <v>29377087.960000005</v>
      </c>
      <c r="AD73" s="49">
        <f>Y73+X73+W73+H73+Z73</f>
        <v>59435895.640000001</v>
      </c>
    </row>
    <row r="74" spans="1:30" ht="24" x14ac:dyDescent="0.25">
      <c r="A74" s="282" t="s">
        <v>84</v>
      </c>
      <c r="B74" s="3" t="s">
        <v>10</v>
      </c>
      <c r="C74" s="3">
        <v>226</v>
      </c>
      <c r="D74" s="25" t="s">
        <v>178</v>
      </c>
      <c r="E74" s="25"/>
      <c r="F74" s="2">
        <v>5000</v>
      </c>
      <c r="G74" s="98">
        <v>5000</v>
      </c>
      <c r="H74" s="253"/>
      <c r="I74" s="7">
        <f t="shared" si="32"/>
        <v>0</v>
      </c>
      <c r="J74" s="2"/>
      <c r="K74" s="2"/>
      <c r="L74" s="41">
        <f t="shared" ref="L74:L85" si="33">SUM(M74:P74)</f>
        <v>0</v>
      </c>
      <c r="M74" s="2"/>
      <c r="N74" s="2"/>
      <c r="O74" s="2"/>
      <c r="P74" s="2"/>
      <c r="Q74" s="41">
        <f t="shared" ref="Q74:Q86" si="34">SUM(R74:U74)</f>
        <v>0</v>
      </c>
      <c r="R74" s="2"/>
      <c r="S74" s="2"/>
      <c r="T74" s="2"/>
      <c r="U74" s="2"/>
      <c r="V74" s="46">
        <f t="shared" ref="V74:V86" si="35">SUM(W74:Z74)</f>
        <v>0</v>
      </c>
      <c r="W74" s="2"/>
      <c r="X74" s="2"/>
      <c r="Y74" s="2"/>
      <c r="Z74" s="2"/>
      <c r="AA74" s="2"/>
      <c r="AB74" s="2"/>
    </row>
    <row r="75" spans="1:30" s="8" customFormat="1" ht="24" x14ac:dyDescent="0.25">
      <c r="A75" s="5" t="s">
        <v>85</v>
      </c>
      <c r="B75" s="1" t="s">
        <v>8</v>
      </c>
      <c r="C75" s="1">
        <v>226</v>
      </c>
      <c r="D75" s="25" t="s">
        <v>167</v>
      </c>
      <c r="E75" s="25"/>
      <c r="F75" s="2">
        <v>7500</v>
      </c>
      <c r="G75" s="98"/>
      <c r="H75" s="253">
        <v>7500</v>
      </c>
      <c r="I75" s="7">
        <f t="shared" si="32"/>
        <v>0</v>
      </c>
      <c r="J75" s="2"/>
      <c r="K75" s="2"/>
      <c r="L75" s="41">
        <f t="shared" si="33"/>
        <v>0</v>
      </c>
      <c r="M75" s="2"/>
      <c r="N75" s="2"/>
      <c r="O75" s="2"/>
      <c r="P75" s="2"/>
      <c r="Q75" s="41">
        <f t="shared" si="34"/>
        <v>0</v>
      </c>
      <c r="R75" s="2"/>
      <c r="S75" s="2"/>
      <c r="T75" s="2"/>
      <c r="U75" s="2"/>
      <c r="V75" s="77">
        <f t="shared" si="35"/>
        <v>0</v>
      </c>
      <c r="W75" s="2"/>
      <c r="X75" s="2"/>
      <c r="Y75" s="2"/>
      <c r="Z75" s="2"/>
      <c r="AA75" s="2"/>
      <c r="AB75" s="2"/>
      <c r="AC75" s="205"/>
    </row>
    <row r="76" spans="1:30" s="8" customFormat="1" ht="49.9" customHeight="1" x14ac:dyDescent="0.25">
      <c r="A76" s="5" t="s">
        <v>86</v>
      </c>
      <c r="B76" s="1" t="s">
        <v>1</v>
      </c>
      <c r="C76" s="1">
        <v>226</v>
      </c>
      <c r="D76" s="28" t="s">
        <v>165</v>
      </c>
      <c r="E76" s="202">
        <v>41621</v>
      </c>
      <c r="F76" s="2">
        <v>206789.5</v>
      </c>
      <c r="G76" s="98">
        <v>206789.5</v>
      </c>
      <c r="H76" s="253"/>
      <c r="I76" s="7">
        <f t="shared" si="32"/>
        <v>0</v>
      </c>
      <c r="J76" s="2"/>
      <c r="K76" s="2"/>
      <c r="L76" s="41">
        <f t="shared" si="33"/>
        <v>0</v>
      </c>
      <c r="M76" s="2"/>
      <c r="N76" s="2"/>
      <c r="O76" s="2"/>
      <c r="P76" s="2"/>
      <c r="Q76" s="41">
        <f t="shared" si="34"/>
        <v>0</v>
      </c>
      <c r="R76" s="2"/>
      <c r="S76" s="2"/>
      <c r="T76" s="2"/>
      <c r="U76" s="2"/>
      <c r="V76" s="77">
        <f t="shared" si="35"/>
        <v>0</v>
      </c>
      <c r="W76" s="2"/>
      <c r="X76" s="2"/>
      <c r="Y76" s="2"/>
      <c r="Z76" s="2"/>
      <c r="AA76" s="2"/>
      <c r="AB76" s="2"/>
      <c r="AC76" s="205"/>
    </row>
    <row r="77" spans="1:30" s="8" customFormat="1" ht="26.45" customHeight="1" x14ac:dyDescent="0.25">
      <c r="A77" s="5" t="s">
        <v>87</v>
      </c>
      <c r="B77" s="1" t="s">
        <v>1</v>
      </c>
      <c r="C77" s="1">
        <v>226</v>
      </c>
      <c r="D77" s="25" t="s">
        <v>180</v>
      </c>
      <c r="E77" s="25"/>
      <c r="F77" s="2">
        <v>19644.419999999998</v>
      </c>
      <c r="G77" s="98"/>
      <c r="H77" s="253">
        <v>19644.419999999998</v>
      </c>
      <c r="I77" s="7">
        <f t="shared" si="32"/>
        <v>0</v>
      </c>
      <c r="J77" s="2"/>
      <c r="K77" s="2"/>
      <c r="L77" s="41">
        <f t="shared" si="33"/>
        <v>0</v>
      </c>
      <c r="M77" s="2"/>
      <c r="N77" s="2"/>
      <c r="O77" s="2"/>
      <c r="P77" s="2"/>
      <c r="Q77" s="41">
        <f t="shared" si="34"/>
        <v>0</v>
      </c>
      <c r="R77" s="2"/>
      <c r="S77" s="2"/>
      <c r="T77" s="2"/>
      <c r="U77" s="2"/>
      <c r="V77" s="77">
        <f t="shared" si="35"/>
        <v>0</v>
      </c>
      <c r="W77" s="2"/>
      <c r="X77" s="2"/>
      <c r="Y77" s="2"/>
      <c r="Z77" s="2"/>
      <c r="AA77" s="2"/>
      <c r="AB77" s="2"/>
      <c r="AC77" s="205"/>
    </row>
    <row r="78" spans="1:30" s="8" customFormat="1" ht="56.25" customHeight="1" x14ac:dyDescent="0.25">
      <c r="A78" s="5" t="s">
        <v>88</v>
      </c>
      <c r="B78" s="284" t="s">
        <v>378</v>
      </c>
      <c r="C78" s="1">
        <v>226</v>
      </c>
      <c r="D78" s="25" t="s">
        <v>379</v>
      </c>
      <c r="E78" s="203">
        <v>42004</v>
      </c>
      <c r="F78" s="2">
        <v>19869</v>
      </c>
      <c r="G78" s="98">
        <v>0</v>
      </c>
      <c r="H78" s="253">
        <v>0</v>
      </c>
      <c r="I78" s="7">
        <f t="shared" si="32"/>
        <v>19869</v>
      </c>
      <c r="J78" s="2"/>
      <c r="K78" s="2"/>
      <c r="L78" s="41">
        <f>SUM(M78:P78)</f>
        <v>19869</v>
      </c>
      <c r="M78" s="2"/>
      <c r="N78" s="2"/>
      <c r="O78" s="2"/>
      <c r="P78" s="2">
        <v>19869</v>
      </c>
      <c r="Q78" s="41">
        <f t="shared" si="34"/>
        <v>19869</v>
      </c>
      <c r="R78" s="2"/>
      <c r="S78" s="2"/>
      <c r="T78" s="2"/>
      <c r="U78" s="2">
        <v>19869</v>
      </c>
      <c r="V78" s="77">
        <f t="shared" si="35"/>
        <v>0</v>
      </c>
      <c r="W78" s="2"/>
      <c r="X78" s="2"/>
      <c r="Y78" s="2"/>
      <c r="Z78" s="2"/>
      <c r="AA78" s="2"/>
      <c r="AB78" s="2"/>
      <c r="AC78" s="205"/>
    </row>
    <row r="79" spans="1:30" s="8" customFormat="1" ht="36" x14ac:dyDescent="0.25">
      <c r="A79" s="60" t="s">
        <v>89</v>
      </c>
      <c r="B79" s="1" t="s">
        <v>11</v>
      </c>
      <c r="C79" s="1">
        <v>226</v>
      </c>
      <c r="D79" s="25" t="s">
        <v>124</v>
      </c>
      <c r="E79" s="25"/>
      <c r="F79" s="2">
        <v>1470952.6</v>
      </c>
      <c r="G79" s="98"/>
      <c r="H79" s="253">
        <v>1470952.6</v>
      </c>
      <c r="I79" s="7">
        <f t="shared" si="32"/>
        <v>0</v>
      </c>
      <c r="J79" s="2"/>
      <c r="K79" s="2"/>
      <c r="L79" s="41">
        <f t="shared" si="33"/>
        <v>0</v>
      </c>
      <c r="M79" s="2"/>
      <c r="N79" s="2"/>
      <c r="O79" s="2"/>
      <c r="P79" s="2"/>
      <c r="Q79" s="41">
        <f t="shared" si="34"/>
        <v>0</v>
      </c>
      <c r="R79" s="2"/>
      <c r="S79" s="2"/>
      <c r="T79" s="2"/>
      <c r="U79" s="2"/>
      <c r="V79" s="77">
        <f t="shared" si="35"/>
        <v>0</v>
      </c>
      <c r="W79" s="2"/>
      <c r="X79" s="2"/>
      <c r="Y79" s="2"/>
      <c r="Z79" s="2"/>
      <c r="AA79" s="2"/>
      <c r="AB79" s="2"/>
      <c r="AC79" s="205"/>
    </row>
    <row r="80" spans="1:30" s="65" customFormat="1" ht="24" x14ac:dyDescent="0.25">
      <c r="A80" s="282" t="s">
        <v>90</v>
      </c>
      <c r="B80" s="61" t="s">
        <v>20</v>
      </c>
      <c r="C80" s="61">
        <v>226</v>
      </c>
      <c r="D80" s="66" t="s">
        <v>128</v>
      </c>
      <c r="E80" s="66" t="s">
        <v>336</v>
      </c>
      <c r="F80" s="7">
        <v>150530.48000000001</v>
      </c>
      <c r="G80" s="98"/>
      <c r="H80" s="253">
        <v>9813.7199999999993</v>
      </c>
      <c r="I80" s="7">
        <f t="shared" si="32"/>
        <v>140716.76</v>
      </c>
      <c r="J80" s="7"/>
      <c r="K80" s="7"/>
      <c r="L80" s="63">
        <f t="shared" si="33"/>
        <v>140716.76</v>
      </c>
      <c r="M80" s="7"/>
      <c r="N80" s="7"/>
      <c r="O80" s="7"/>
      <c r="P80" s="7">
        <v>140716.76</v>
      </c>
      <c r="Q80" s="63">
        <f t="shared" si="34"/>
        <v>140716.76</v>
      </c>
      <c r="R80" s="7"/>
      <c r="S80" s="7"/>
      <c r="T80" s="7"/>
      <c r="U80" s="7">
        <v>140716.76</v>
      </c>
      <c r="V80" s="64">
        <f t="shared" si="35"/>
        <v>68889.760000000009</v>
      </c>
      <c r="W80" s="7"/>
      <c r="X80" s="7"/>
      <c r="Y80" s="7"/>
      <c r="Z80" s="7">
        <f>37596.68+23006.06+8287.02</f>
        <v>68889.760000000009</v>
      </c>
      <c r="AA80" s="7">
        <f t="shared" ref="AA80:AA86" si="36">U80-P80</f>
        <v>0</v>
      </c>
      <c r="AB80" s="7">
        <f t="shared" ref="AB80:AB86" si="37">P80-Z80</f>
        <v>71827</v>
      </c>
      <c r="AC80" s="205" t="s">
        <v>343</v>
      </c>
    </row>
    <row r="81" spans="1:30" ht="36" x14ac:dyDescent="0.25">
      <c r="A81" s="282" t="s">
        <v>91</v>
      </c>
      <c r="B81" s="3" t="s">
        <v>12</v>
      </c>
      <c r="C81" s="3">
        <v>226</v>
      </c>
      <c r="D81" s="25" t="s">
        <v>140</v>
      </c>
      <c r="E81" s="203" t="s">
        <v>337</v>
      </c>
      <c r="F81" s="2">
        <v>190961.9</v>
      </c>
      <c r="G81" s="98"/>
      <c r="H81" s="253">
        <v>57288.57</v>
      </c>
      <c r="I81" s="7">
        <f t="shared" si="32"/>
        <v>133673.32999999999</v>
      </c>
      <c r="J81" s="2"/>
      <c r="K81" s="2"/>
      <c r="L81" s="41">
        <f t="shared" si="33"/>
        <v>133673.32999999999</v>
      </c>
      <c r="M81" s="2"/>
      <c r="N81" s="2"/>
      <c r="O81" s="2"/>
      <c r="P81" s="2">
        <v>133673.32999999999</v>
      </c>
      <c r="Q81" s="41">
        <f t="shared" si="34"/>
        <v>133673.32999999999</v>
      </c>
      <c r="R81" s="2"/>
      <c r="S81" s="2"/>
      <c r="T81" s="2"/>
      <c r="U81" s="2">
        <v>133673.32999999999</v>
      </c>
      <c r="V81" s="46">
        <f t="shared" si="35"/>
        <v>0</v>
      </c>
      <c r="W81" s="2"/>
      <c r="X81" s="2"/>
      <c r="Y81" s="2"/>
      <c r="Z81" s="2"/>
      <c r="AA81" s="2">
        <f t="shared" si="36"/>
        <v>0</v>
      </c>
      <c r="AB81" s="7">
        <f t="shared" si="37"/>
        <v>133673.32999999999</v>
      </c>
      <c r="AC81" s="205" t="s">
        <v>343</v>
      </c>
    </row>
    <row r="82" spans="1:30" ht="24" x14ac:dyDescent="0.25">
      <c r="A82" s="282" t="s">
        <v>92</v>
      </c>
      <c r="B82" s="3" t="s">
        <v>13</v>
      </c>
      <c r="C82" s="3">
        <v>226</v>
      </c>
      <c r="D82" s="26" t="s">
        <v>145</v>
      </c>
      <c r="E82" s="26"/>
      <c r="F82" s="2">
        <v>1024528.19</v>
      </c>
      <c r="G82" s="98"/>
      <c r="H82" s="253">
        <v>665943.31999999995</v>
      </c>
      <c r="I82" s="7">
        <f t="shared" si="32"/>
        <v>358584.87</v>
      </c>
      <c r="J82" s="2"/>
      <c r="K82" s="2"/>
      <c r="L82" s="41">
        <f t="shared" si="33"/>
        <v>358584.87</v>
      </c>
      <c r="M82" s="2"/>
      <c r="N82" s="2"/>
      <c r="O82" s="2"/>
      <c r="P82" s="2">
        <v>358584.87</v>
      </c>
      <c r="Q82" s="41">
        <f t="shared" si="34"/>
        <v>358584.87</v>
      </c>
      <c r="R82" s="2"/>
      <c r="S82" s="2"/>
      <c r="T82" s="2"/>
      <c r="U82" s="2">
        <v>358584.87</v>
      </c>
      <c r="V82" s="46">
        <f t="shared" si="35"/>
        <v>358584.87</v>
      </c>
      <c r="W82" s="2"/>
      <c r="X82" s="2"/>
      <c r="Y82" s="2"/>
      <c r="Z82" s="2">
        <v>358584.87</v>
      </c>
      <c r="AA82" s="2">
        <f t="shared" si="36"/>
        <v>0</v>
      </c>
      <c r="AB82" s="7">
        <f t="shared" si="37"/>
        <v>0</v>
      </c>
      <c r="AC82" s="205" t="s">
        <v>343</v>
      </c>
    </row>
    <row r="83" spans="1:30" ht="24" x14ac:dyDescent="0.25">
      <c r="A83" s="60" t="s">
        <v>93</v>
      </c>
      <c r="B83" s="3" t="s">
        <v>15</v>
      </c>
      <c r="C83" s="3">
        <v>226</v>
      </c>
      <c r="D83" s="27" t="s">
        <v>151</v>
      </c>
      <c r="E83" s="27"/>
      <c r="F83" s="2">
        <v>1117400.6100000001</v>
      </c>
      <c r="G83" s="98"/>
      <c r="H83" s="253">
        <v>726310.40000000002</v>
      </c>
      <c r="I83" s="7">
        <f t="shared" si="32"/>
        <v>391090.21000000008</v>
      </c>
      <c r="J83" s="2"/>
      <c r="K83" s="2"/>
      <c r="L83" s="41">
        <f t="shared" si="33"/>
        <v>391090.21</v>
      </c>
      <c r="M83" s="2"/>
      <c r="N83" s="2"/>
      <c r="O83" s="2"/>
      <c r="P83" s="2">
        <v>391090.21</v>
      </c>
      <c r="Q83" s="41">
        <f t="shared" si="34"/>
        <v>391090.21</v>
      </c>
      <c r="R83" s="2"/>
      <c r="S83" s="2"/>
      <c r="T83" s="2"/>
      <c r="U83" s="2">
        <v>391090.21</v>
      </c>
      <c r="V83" s="46">
        <f t="shared" si="35"/>
        <v>391090.21</v>
      </c>
      <c r="W83" s="2"/>
      <c r="X83" s="2"/>
      <c r="Y83" s="2"/>
      <c r="Z83" s="2">
        <v>391090.21</v>
      </c>
      <c r="AA83" s="2">
        <f t="shared" si="36"/>
        <v>0</v>
      </c>
      <c r="AB83" s="7">
        <f t="shared" si="37"/>
        <v>0</v>
      </c>
      <c r="AC83" s="205" t="s">
        <v>343</v>
      </c>
    </row>
    <row r="84" spans="1:30" s="65" customFormat="1" ht="36" x14ac:dyDescent="0.25">
      <c r="A84" s="60" t="s">
        <v>214</v>
      </c>
      <c r="B84" s="61" t="s">
        <v>14</v>
      </c>
      <c r="C84" s="61">
        <v>226</v>
      </c>
      <c r="D84" s="66" t="s">
        <v>232</v>
      </c>
      <c r="E84" s="203" t="s">
        <v>341</v>
      </c>
      <c r="F84" s="7">
        <v>1456688.5</v>
      </c>
      <c r="G84" s="98"/>
      <c r="H84" s="253">
        <v>946847.52</v>
      </c>
      <c r="I84" s="7">
        <f>F84-G84-H84</f>
        <v>509840.98</v>
      </c>
      <c r="J84" s="7"/>
      <c r="K84" s="7"/>
      <c r="L84" s="63">
        <f t="shared" si="33"/>
        <v>509840.98</v>
      </c>
      <c r="M84" s="7"/>
      <c r="N84" s="7"/>
      <c r="O84" s="7"/>
      <c r="P84" s="7">
        <v>509840.98</v>
      </c>
      <c r="Q84" s="63">
        <f t="shared" si="34"/>
        <v>509840.98</v>
      </c>
      <c r="R84" s="7"/>
      <c r="S84" s="7"/>
      <c r="T84" s="7"/>
      <c r="U84" s="7">
        <v>509840.98</v>
      </c>
      <c r="V84" s="64">
        <f t="shared" si="35"/>
        <v>0</v>
      </c>
      <c r="W84" s="7"/>
      <c r="X84" s="7"/>
      <c r="Y84" s="7"/>
      <c r="Z84" s="7">
        <v>0</v>
      </c>
      <c r="AA84" s="7">
        <f t="shared" si="36"/>
        <v>0</v>
      </c>
      <c r="AB84" s="7">
        <f t="shared" si="37"/>
        <v>509840.98</v>
      </c>
      <c r="AC84" s="205" t="s">
        <v>343</v>
      </c>
    </row>
    <row r="85" spans="1:30" s="65" customFormat="1" ht="78.75" x14ac:dyDescent="0.25">
      <c r="A85" s="60" t="s">
        <v>252</v>
      </c>
      <c r="B85" s="61" t="s">
        <v>208</v>
      </c>
      <c r="C85" s="61">
        <v>226</v>
      </c>
      <c r="D85" s="66" t="s">
        <v>215</v>
      </c>
      <c r="E85" s="66"/>
      <c r="F85" s="7">
        <v>58020.91</v>
      </c>
      <c r="G85" s="98"/>
      <c r="H85" s="253"/>
      <c r="I85" s="7">
        <f>F85-G85-H85</f>
        <v>58020.91</v>
      </c>
      <c r="J85" s="7"/>
      <c r="K85" s="7"/>
      <c r="L85" s="63">
        <f t="shared" si="33"/>
        <v>58020.91</v>
      </c>
      <c r="M85" s="7"/>
      <c r="N85" s="7"/>
      <c r="O85" s="7"/>
      <c r="P85" s="7">
        <v>58020.91</v>
      </c>
      <c r="Q85" s="63">
        <f t="shared" si="34"/>
        <v>58020.91</v>
      </c>
      <c r="R85" s="7"/>
      <c r="S85" s="7"/>
      <c r="T85" s="7"/>
      <c r="U85" s="7">
        <v>58020.91</v>
      </c>
      <c r="V85" s="64">
        <f t="shared" si="35"/>
        <v>17406.27</v>
      </c>
      <c r="W85" s="7"/>
      <c r="X85" s="7"/>
      <c r="Y85" s="7"/>
      <c r="Z85" s="7">
        <v>17406.27</v>
      </c>
      <c r="AA85" s="7">
        <f t="shared" si="36"/>
        <v>0</v>
      </c>
      <c r="AB85" s="7">
        <f t="shared" si="37"/>
        <v>40614.639999999999</v>
      </c>
      <c r="AC85" s="205" t="s">
        <v>343</v>
      </c>
    </row>
    <row r="86" spans="1:30" s="65" customFormat="1" ht="48.75" customHeight="1" x14ac:dyDescent="0.25">
      <c r="A86" s="60" t="s">
        <v>381</v>
      </c>
      <c r="B86" s="68" t="s">
        <v>248</v>
      </c>
      <c r="C86" s="68">
        <v>226</v>
      </c>
      <c r="D86" s="121" t="s">
        <v>308</v>
      </c>
      <c r="E86" s="121"/>
      <c r="F86" s="7">
        <v>1239</v>
      </c>
      <c r="G86" s="98"/>
      <c r="H86" s="253"/>
      <c r="I86" s="7">
        <f>F86-G86-H86</f>
        <v>1239</v>
      </c>
      <c r="J86" s="7"/>
      <c r="K86" s="7"/>
      <c r="L86" s="63">
        <f>SUM(M86:P86)</f>
        <v>1239</v>
      </c>
      <c r="M86" s="7"/>
      <c r="N86" s="7"/>
      <c r="O86" s="7"/>
      <c r="P86" s="7">
        <v>1239</v>
      </c>
      <c r="Q86" s="63">
        <f t="shared" si="34"/>
        <v>1239</v>
      </c>
      <c r="R86" s="7"/>
      <c r="S86" s="7"/>
      <c r="T86" s="7"/>
      <c r="U86" s="7">
        <v>1239</v>
      </c>
      <c r="V86" s="64">
        <f t="shared" si="35"/>
        <v>1239</v>
      </c>
      <c r="W86" s="7"/>
      <c r="X86" s="7"/>
      <c r="Y86" s="7"/>
      <c r="Z86" s="7">
        <v>1239</v>
      </c>
      <c r="AA86" s="7">
        <f t="shared" si="36"/>
        <v>0</v>
      </c>
      <c r="AB86" s="7">
        <f t="shared" si="37"/>
        <v>0</v>
      </c>
      <c r="AC86" s="205" t="s">
        <v>343</v>
      </c>
    </row>
    <row r="87" spans="1:30" s="14" customFormat="1" x14ac:dyDescent="0.25">
      <c r="A87" s="11" t="s">
        <v>40</v>
      </c>
      <c r="B87" s="214" t="s">
        <v>5</v>
      </c>
      <c r="C87" s="12"/>
      <c r="D87" s="12"/>
      <c r="E87" s="12"/>
      <c r="F87" s="13">
        <f>SUM(F89:F103)</f>
        <v>66467225.25999999</v>
      </c>
      <c r="G87" s="102">
        <f>SUM(G89:G103)</f>
        <v>348175.05</v>
      </c>
      <c r="H87" s="258">
        <f>SUM(H89:H103)</f>
        <v>8991124.4499999993</v>
      </c>
      <c r="I87" s="89">
        <f>SUM(I89:I103)</f>
        <v>57127925.759999998</v>
      </c>
      <c r="J87" s="13">
        <f>SUM(J89:J103)</f>
        <v>1499.94</v>
      </c>
      <c r="K87" s="13">
        <f>F87/J87</f>
        <v>44313.256036908133</v>
      </c>
      <c r="L87" s="215">
        <f>SUM(L89:L103)</f>
        <v>57127925.759999998</v>
      </c>
      <c r="M87" s="216">
        <f>SUM(M89:M103)</f>
        <v>13118530.42</v>
      </c>
      <c r="N87" s="216">
        <f t="shared" ref="N87:AB87" si="38">SUM(N89:N103)</f>
        <v>28977499.289999999</v>
      </c>
      <c r="O87" s="216">
        <f t="shared" si="38"/>
        <v>3571998.37</v>
      </c>
      <c r="P87" s="216">
        <f t="shared" si="38"/>
        <v>11459897.679999998</v>
      </c>
      <c r="Q87" s="215">
        <f>SUM(Q89:Q103)</f>
        <v>57127925.759999998</v>
      </c>
      <c r="R87" s="216">
        <f t="shared" si="38"/>
        <v>13118530.42</v>
      </c>
      <c r="S87" s="216">
        <f t="shared" si="38"/>
        <v>28977499.289999999</v>
      </c>
      <c r="T87" s="216">
        <f t="shared" si="38"/>
        <v>3571998.37</v>
      </c>
      <c r="U87" s="216">
        <f t="shared" si="38"/>
        <v>11459897.679999998</v>
      </c>
      <c r="V87" s="215">
        <f>SUM(V89:V103)</f>
        <v>50958322.830000006</v>
      </c>
      <c r="W87" s="216">
        <f t="shared" si="38"/>
        <v>11736185.73</v>
      </c>
      <c r="X87" s="216">
        <f t="shared" si="38"/>
        <v>28371870.829999998</v>
      </c>
      <c r="Y87" s="216">
        <f t="shared" si="38"/>
        <v>3403315.52</v>
      </c>
      <c r="Z87" s="216">
        <f t="shared" si="38"/>
        <v>7446950.7500000009</v>
      </c>
      <c r="AA87" s="215">
        <f t="shared" si="38"/>
        <v>0</v>
      </c>
      <c r="AB87" s="215">
        <f t="shared" si="38"/>
        <v>10883469.779999999</v>
      </c>
      <c r="AC87" s="207"/>
    </row>
    <row r="88" spans="1:30" ht="105.75" customHeight="1" x14ac:dyDescent="0.25">
      <c r="A88" s="351" t="s">
        <v>94</v>
      </c>
      <c r="B88" s="1" t="s">
        <v>32</v>
      </c>
      <c r="C88" s="323">
        <v>310</v>
      </c>
      <c r="D88" s="318" t="s">
        <v>349</v>
      </c>
      <c r="E88" s="25"/>
      <c r="F88" s="2">
        <v>59463754</v>
      </c>
      <c r="G88" s="98"/>
      <c r="H88" s="253">
        <v>4904407.93</v>
      </c>
      <c r="I88" s="7">
        <f t="shared" ref="I88:I99" si="39">F88-G88-H88</f>
        <v>54559346.07</v>
      </c>
      <c r="J88" s="36">
        <f>SUM(J89:J90)</f>
        <v>1499.94</v>
      </c>
      <c r="K88" s="36">
        <f>F88/J88</f>
        <v>39644.088430203876</v>
      </c>
      <c r="L88" s="41">
        <f t="shared" ref="L88:V88" si="40">SUM(L89:L90)</f>
        <v>54559346.07</v>
      </c>
      <c r="M88" s="2">
        <f t="shared" si="40"/>
        <v>13118530.42</v>
      </c>
      <c r="N88" s="2">
        <f t="shared" si="40"/>
        <v>28977499.289999999</v>
      </c>
      <c r="O88" s="2">
        <f t="shared" si="40"/>
        <v>3571998.37</v>
      </c>
      <c r="P88" s="2">
        <f t="shared" si="40"/>
        <v>8891317.9899999984</v>
      </c>
      <c r="Q88" s="41">
        <f t="shared" si="40"/>
        <v>54559346.07</v>
      </c>
      <c r="R88" s="2">
        <f t="shared" si="40"/>
        <v>13118530.42</v>
      </c>
      <c r="S88" s="2">
        <f t="shared" si="40"/>
        <v>28977499.289999999</v>
      </c>
      <c r="T88" s="2">
        <f t="shared" si="40"/>
        <v>3571998.37</v>
      </c>
      <c r="U88" s="2">
        <f t="shared" si="40"/>
        <v>8891317.9899999984</v>
      </c>
      <c r="V88" s="41">
        <f t="shared" si="40"/>
        <v>50213212.080000006</v>
      </c>
      <c r="W88" s="2">
        <f t="shared" ref="W88:AB88" si="41">SUM(W89:W90)</f>
        <v>11736185.73</v>
      </c>
      <c r="X88" s="2">
        <f t="shared" si="41"/>
        <v>28371870.829999998</v>
      </c>
      <c r="Y88" s="2">
        <f t="shared" si="41"/>
        <v>3403315.52</v>
      </c>
      <c r="Z88" s="2">
        <f t="shared" si="41"/>
        <v>6701840</v>
      </c>
      <c r="AA88" s="41">
        <f t="shared" si="41"/>
        <v>0</v>
      </c>
      <c r="AB88" s="41">
        <f t="shared" si="41"/>
        <v>9060000.8399999999</v>
      </c>
    </row>
    <row r="89" spans="1:30" x14ac:dyDescent="0.25">
      <c r="A89" s="352"/>
      <c r="B89" s="1" t="s">
        <v>193</v>
      </c>
      <c r="C89" s="324"/>
      <c r="D89" s="319"/>
      <c r="E89" s="25"/>
      <c r="F89" s="132">
        <v>57001287.960000001</v>
      </c>
      <c r="G89" s="98"/>
      <c r="H89" s="253">
        <v>4904407.93</v>
      </c>
      <c r="I89" s="7">
        <f t="shared" si="39"/>
        <v>52096880.030000001</v>
      </c>
      <c r="J89" s="36">
        <v>1440.45</v>
      </c>
      <c r="K89" s="36"/>
      <c r="L89" s="41">
        <f>SUM(M89:P89)</f>
        <v>52096880.030000001</v>
      </c>
      <c r="M89" s="36">
        <v>11736185.73</v>
      </c>
      <c r="N89" s="36">
        <v>28371870.829999998</v>
      </c>
      <c r="O89" s="129">
        <v>3403315.52</v>
      </c>
      <c r="P89" s="36">
        <f>1423790+7161717.95</f>
        <v>8585507.9499999993</v>
      </c>
      <c r="Q89" s="41">
        <f>SUM(R89:U89)</f>
        <v>52096880.030000001</v>
      </c>
      <c r="R89" s="36">
        <f>13058904.55-1322718.82</f>
        <v>11736185.73</v>
      </c>
      <c r="S89" s="36">
        <f>31570035.24-3198164.41</f>
        <v>28371870.829999998</v>
      </c>
      <c r="T89" s="36">
        <f>3786840.22-383524.7</f>
        <v>3403315.52</v>
      </c>
      <c r="U89" s="36">
        <f>1423790+7161717.95</f>
        <v>8585507.9499999993</v>
      </c>
      <c r="V89" s="46">
        <f>SUM(W89:Z89)</f>
        <v>50213212.080000006</v>
      </c>
      <c r="W89" s="36">
        <f>8309819.83+3426365.9</f>
        <v>11736185.73</v>
      </c>
      <c r="X89" s="36">
        <f>20092078.29+8279792.54</f>
        <v>28371870.829999998</v>
      </c>
      <c r="Y89" s="36">
        <f>2409447.2+993868.32</f>
        <v>3403315.52</v>
      </c>
      <c r="Z89" s="36">
        <v>6701840</v>
      </c>
      <c r="AA89" s="36">
        <f>T89-O89</f>
        <v>0</v>
      </c>
      <c r="AB89" s="36">
        <f>AA89+O89-Y89+P89</f>
        <v>8585507.9499999993</v>
      </c>
      <c r="AC89" s="208">
        <f>O89+P89-Y89-Z89+AA89</f>
        <v>1883667.9499999993</v>
      </c>
      <c r="AD89" s="49">
        <f>Y89+X89+W89+H89+Z89</f>
        <v>55117620.009999998</v>
      </c>
    </row>
    <row r="90" spans="1:30" x14ac:dyDescent="0.25">
      <c r="A90" s="353"/>
      <c r="B90" s="1" t="s">
        <v>194</v>
      </c>
      <c r="C90" s="325"/>
      <c r="D90" s="320"/>
      <c r="E90" s="25"/>
      <c r="F90" s="132">
        <v>2462466.04</v>
      </c>
      <c r="G90" s="98"/>
      <c r="H90" s="253">
        <v>0</v>
      </c>
      <c r="I90" s="7">
        <f t="shared" si="39"/>
        <v>2462466.04</v>
      </c>
      <c r="J90" s="36">
        <v>59.49</v>
      </c>
      <c r="K90" s="36"/>
      <c r="L90" s="41">
        <f>SUM(M90:P90)</f>
        <v>2462466.04</v>
      </c>
      <c r="M90" s="36">
        <v>1382344.69</v>
      </c>
      <c r="N90" s="36">
        <v>605628.46</v>
      </c>
      <c r="O90" s="36">
        <v>168682.85</v>
      </c>
      <c r="P90" s="129">
        <v>305810.03999999998</v>
      </c>
      <c r="Q90" s="41">
        <f>SUM(R90:U90)</f>
        <v>2462466.04</v>
      </c>
      <c r="R90" s="36">
        <v>1382344.69</v>
      </c>
      <c r="S90" s="36">
        <v>605628.46</v>
      </c>
      <c r="T90" s="36">
        <v>168682.85</v>
      </c>
      <c r="U90" s="36">
        <f>10034+295776.04</f>
        <v>305810.03999999998</v>
      </c>
      <c r="V90" s="46">
        <f>SUM(W90:Z90)</f>
        <v>0</v>
      </c>
      <c r="W90" s="36">
        <v>0</v>
      </c>
      <c r="X90" s="36">
        <v>0</v>
      </c>
      <c r="Y90" s="36">
        <v>0</v>
      </c>
      <c r="Z90" s="36">
        <v>0</v>
      </c>
      <c r="AA90" s="36">
        <f>U90-P90</f>
        <v>0</v>
      </c>
      <c r="AB90" s="36">
        <f>AA90+O90+P90</f>
        <v>474492.89</v>
      </c>
      <c r="AC90" s="208">
        <f>O90+P90-Y90-Z90+AA90</f>
        <v>474492.89</v>
      </c>
    </row>
    <row r="91" spans="1:30" ht="29.25" customHeight="1" x14ac:dyDescent="0.25">
      <c r="A91" s="282" t="s">
        <v>95</v>
      </c>
      <c r="B91" s="3" t="s">
        <v>10</v>
      </c>
      <c r="C91" s="3">
        <v>226</v>
      </c>
      <c r="D91" s="25" t="s">
        <v>179</v>
      </c>
      <c r="E91" s="25"/>
      <c r="F91" s="2">
        <v>5000</v>
      </c>
      <c r="G91" s="98">
        <v>5000</v>
      </c>
      <c r="H91" s="253"/>
      <c r="I91" s="7">
        <f t="shared" si="39"/>
        <v>0</v>
      </c>
      <c r="J91" s="2"/>
      <c r="K91" s="2"/>
      <c r="L91" s="41">
        <f t="shared" ref="L91:L102" si="42">SUM(M91:P91)</f>
        <v>0</v>
      </c>
      <c r="M91" s="2"/>
      <c r="N91" s="2"/>
      <c r="O91" s="2"/>
      <c r="P91" s="2"/>
      <c r="Q91" s="41">
        <f t="shared" ref="Q91:Q103" si="43">SUM(R91:U91)</f>
        <v>0</v>
      </c>
      <c r="R91" s="2"/>
      <c r="S91" s="2"/>
      <c r="T91" s="2"/>
      <c r="U91" s="2"/>
      <c r="V91" s="46">
        <f t="shared" ref="V91:V103" si="44">SUM(W91:Z91)</f>
        <v>0</v>
      </c>
      <c r="W91" s="2"/>
      <c r="X91" s="2"/>
      <c r="Y91" s="2"/>
      <c r="Z91" s="2"/>
      <c r="AA91" s="2"/>
      <c r="AB91" s="2"/>
    </row>
    <row r="92" spans="1:30" s="8" customFormat="1" ht="24" x14ac:dyDescent="0.25">
      <c r="A92" s="5" t="s">
        <v>96</v>
      </c>
      <c r="B92" s="1" t="s">
        <v>8</v>
      </c>
      <c r="C92" s="1">
        <v>226</v>
      </c>
      <c r="D92" s="25" t="s">
        <v>167</v>
      </c>
      <c r="E92" s="25"/>
      <c r="F92" s="2">
        <v>7500</v>
      </c>
      <c r="G92" s="98"/>
      <c r="H92" s="253">
        <v>7500</v>
      </c>
      <c r="I92" s="7">
        <f t="shared" si="39"/>
        <v>0</v>
      </c>
      <c r="J92" s="2"/>
      <c r="K92" s="2"/>
      <c r="L92" s="41">
        <f t="shared" si="42"/>
        <v>0</v>
      </c>
      <c r="M92" s="2"/>
      <c r="N92" s="2"/>
      <c r="O92" s="2"/>
      <c r="P92" s="2"/>
      <c r="Q92" s="41">
        <f t="shared" si="43"/>
        <v>0</v>
      </c>
      <c r="R92" s="2"/>
      <c r="S92" s="2"/>
      <c r="T92" s="2"/>
      <c r="U92" s="2"/>
      <c r="V92" s="77">
        <f t="shared" si="44"/>
        <v>0</v>
      </c>
      <c r="W92" s="2"/>
      <c r="X92" s="2"/>
      <c r="Y92" s="2"/>
      <c r="Z92" s="2"/>
      <c r="AA92" s="2"/>
      <c r="AB92" s="2"/>
      <c r="AC92" s="205"/>
    </row>
    <row r="93" spans="1:30" s="8" customFormat="1" ht="24" x14ac:dyDescent="0.25">
      <c r="A93" s="5" t="s">
        <v>97</v>
      </c>
      <c r="B93" s="1" t="s">
        <v>1</v>
      </c>
      <c r="C93" s="1">
        <v>226</v>
      </c>
      <c r="D93" s="25" t="s">
        <v>168</v>
      </c>
      <c r="E93" s="25"/>
      <c r="F93" s="2">
        <v>343175.05</v>
      </c>
      <c r="G93" s="98">
        <v>343175.05</v>
      </c>
      <c r="H93" s="253"/>
      <c r="I93" s="7">
        <f t="shared" si="39"/>
        <v>0</v>
      </c>
      <c r="J93" s="2"/>
      <c r="K93" s="2"/>
      <c r="L93" s="41">
        <f t="shared" si="42"/>
        <v>0</v>
      </c>
      <c r="M93" s="2"/>
      <c r="N93" s="2"/>
      <c r="O93" s="2"/>
      <c r="P93" s="2"/>
      <c r="Q93" s="41">
        <f t="shared" si="43"/>
        <v>0</v>
      </c>
      <c r="R93" s="2"/>
      <c r="S93" s="2"/>
      <c r="T93" s="2"/>
      <c r="U93" s="2"/>
      <c r="V93" s="77">
        <f t="shared" si="44"/>
        <v>0</v>
      </c>
      <c r="W93" s="2"/>
      <c r="X93" s="2"/>
      <c r="Y93" s="2"/>
      <c r="Z93" s="2"/>
      <c r="AA93" s="2"/>
      <c r="AB93" s="2"/>
      <c r="AC93" s="205"/>
    </row>
    <row r="94" spans="1:30" s="8" customFormat="1" ht="27.6" customHeight="1" x14ac:dyDescent="0.25">
      <c r="A94" s="5" t="s">
        <v>98</v>
      </c>
      <c r="B94" s="1" t="s">
        <v>1</v>
      </c>
      <c r="C94" s="1">
        <v>226</v>
      </c>
      <c r="D94" s="25" t="s">
        <v>181</v>
      </c>
      <c r="E94" s="25"/>
      <c r="F94" s="2">
        <v>19641.689999999999</v>
      </c>
      <c r="G94" s="98"/>
      <c r="H94" s="253">
        <v>19641.689999999999</v>
      </c>
      <c r="I94" s="7">
        <f t="shared" si="39"/>
        <v>0</v>
      </c>
      <c r="J94" s="2"/>
      <c r="K94" s="2"/>
      <c r="L94" s="41">
        <f t="shared" si="42"/>
        <v>0</v>
      </c>
      <c r="M94" s="2"/>
      <c r="N94" s="2"/>
      <c r="O94" s="2"/>
      <c r="P94" s="2"/>
      <c r="Q94" s="41">
        <f t="shared" si="43"/>
        <v>0</v>
      </c>
      <c r="R94" s="2"/>
      <c r="S94" s="2"/>
      <c r="T94" s="2"/>
      <c r="U94" s="2"/>
      <c r="V94" s="77">
        <f t="shared" si="44"/>
        <v>0</v>
      </c>
      <c r="W94" s="2"/>
      <c r="X94" s="2"/>
      <c r="Y94" s="2"/>
      <c r="Z94" s="2"/>
      <c r="AA94" s="2"/>
      <c r="AB94" s="2"/>
      <c r="AC94" s="205"/>
    </row>
    <row r="95" spans="1:30" s="8" customFormat="1" ht="36" x14ac:dyDescent="0.25">
      <c r="A95" s="5" t="s">
        <v>99</v>
      </c>
      <c r="B95" s="1" t="s">
        <v>11</v>
      </c>
      <c r="C95" s="1">
        <v>226</v>
      </c>
      <c r="D95" s="25" t="s">
        <v>123</v>
      </c>
      <c r="E95" s="25"/>
      <c r="F95" s="2">
        <v>1493590</v>
      </c>
      <c r="G95" s="98"/>
      <c r="H95" s="253">
        <v>1493590</v>
      </c>
      <c r="I95" s="7">
        <f t="shared" si="39"/>
        <v>0</v>
      </c>
      <c r="J95" s="2"/>
      <c r="K95" s="2"/>
      <c r="L95" s="41">
        <f t="shared" si="42"/>
        <v>0</v>
      </c>
      <c r="M95" s="2"/>
      <c r="N95" s="2"/>
      <c r="O95" s="2"/>
      <c r="P95" s="2"/>
      <c r="Q95" s="41">
        <f t="shared" si="43"/>
        <v>0</v>
      </c>
      <c r="R95" s="2"/>
      <c r="S95" s="2"/>
      <c r="T95" s="2"/>
      <c r="U95" s="2"/>
      <c r="V95" s="77">
        <f t="shared" si="44"/>
        <v>0</v>
      </c>
      <c r="W95" s="2"/>
      <c r="X95" s="2"/>
      <c r="Y95" s="2"/>
      <c r="Z95" s="2"/>
      <c r="AA95" s="2"/>
      <c r="AB95" s="2"/>
      <c r="AC95" s="205"/>
    </row>
    <row r="96" spans="1:30" s="65" customFormat="1" ht="24" x14ac:dyDescent="0.25">
      <c r="A96" s="60" t="s">
        <v>100</v>
      </c>
      <c r="B96" s="61" t="s">
        <v>20</v>
      </c>
      <c r="C96" s="61">
        <v>226</v>
      </c>
      <c r="D96" s="66" t="s">
        <v>129</v>
      </c>
      <c r="E96" s="66" t="s">
        <v>336</v>
      </c>
      <c r="F96" s="7">
        <v>97075.05</v>
      </c>
      <c r="G96" s="98"/>
      <c r="H96" s="253">
        <v>3553.4</v>
      </c>
      <c r="I96" s="7">
        <f t="shared" si="39"/>
        <v>93521.650000000009</v>
      </c>
      <c r="J96" s="7"/>
      <c r="K96" s="7"/>
      <c r="L96" s="63">
        <f t="shared" si="42"/>
        <v>93521.65</v>
      </c>
      <c r="M96" s="7"/>
      <c r="N96" s="7"/>
      <c r="O96" s="7"/>
      <c r="P96" s="7">
        <v>93521.65</v>
      </c>
      <c r="Q96" s="63">
        <f t="shared" si="43"/>
        <v>93521.65</v>
      </c>
      <c r="R96" s="7"/>
      <c r="S96" s="7"/>
      <c r="T96" s="7"/>
      <c r="U96" s="7">
        <v>93521.65</v>
      </c>
      <c r="V96" s="64">
        <f t="shared" si="44"/>
        <v>93521.65</v>
      </c>
      <c r="W96" s="7"/>
      <c r="X96" s="7"/>
      <c r="Y96" s="7"/>
      <c r="Z96" s="7">
        <f>32563.5+24418.28+36539.87</f>
        <v>93521.65</v>
      </c>
      <c r="AA96" s="7">
        <f>U96-P96</f>
        <v>0</v>
      </c>
      <c r="AB96" s="7">
        <f>P96-Z96</f>
        <v>0</v>
      </c>
      <c r="AC96" s="205" t="s">
        <v>343</v>
      </c>
    </row>
    <row r="97" spans="1:30" ht="36" x14ac:dyDescent="0.25">
      <c r="A97" s="282" t="s">
        <v>101</v>
      </c>
      <c r="B97" s="3" t="s">
        <v>12</v>
      </c>
      <c r="C97" s="3">
        <v>226</v>
      </c>
      <c r="D97" s="25" t="s">
        <v>134</v>
      </c>
      <c r="E97" s="203" t="s">
        <v>338</v>
      </c>
      <c r="F97" s="2">
        <v>222926.3</v>
      </c>
      <c r="G97" s="98"/>
      <c r="H97" s="253">
        <v>66877.89</v>
      </c>
      <c r="I97" s="7">
        <f t="shared" si="39"/>
        <v>156048.40999999997</v>
      </c>
      <c r="J97" s="2"/>
      <c r="K97" s="2"/>
      <c r="L97" s="41">
        <f t="shared" si="42"/>
        <v>156048.41</v>
      </c>
      <c r="M97" s="2"/>
      <c r="N97" s="2"/>
      <c r="O97" s="2"/>
      <c r="P97" s="2">
        <v>156048.41</v>
      </c>
      <c r="Q97" s="41">
        <f t="shared" si="43"/>
        <v>156048.41</v>
      </c>
      <c r="R97" s="2"/>
      <c r="S97" s="2"/>
      <c r="T97" s="2"/>
      <c r="U97" s="2">
        <v>156048.41</v>
      </c>
      <c r="V97" s="46">
        <f t="shared" si="44"/>
        <v>0</v>
      </c>
      <c r="W97" s="2"/>
      <c r="X97" s="2"/>
      <c r="Y97" s="2"/>
      <c r="Z97" s="2"/>
      <c r="AA97" s="2">
        <f>U97-P97</f>
        <v>0</v>
      </c>
      <c r="AB97" s="2">
        <f t="shared" ref="AB97:AB102" si="45">P97-Z97</f>
        <v>156048.41</v>
      </c>
      <c r="AC97" s="205" t="s">
        <v>343</v>
      </c>
    </row>
    <row r="98" spans="1:30" ht="24" x14ac:dyDescent="0.25">
      <c r="A98" s="282" t="s">
        <v>102</v>
      </c>
      <c r="B98" s="3" t="s">
        <v>13</v>
      </c>
      <c r="C98" s="3">
        <v>226</v>
      </c>
      <c r="D98" s="26" t="s">
        <v>146</v>
      </c>
      <c r="E98" s="26"/>
      <c r="F98" s="2">
        <v>894658.42</v>
      </c>
      <c r="G98" s="98"/>
      <c r="H98" s="253">
        <v>581527.97</v>
      </c>
      <c r="I98" s="7">
        <f t="shared" si="39"/>
        <v>313130.45000000007</v>
      </c>
      <c r="J98" s="2"/>
      <c r="K98" s="2"/>
      <c r="L98" s="41">
        <f t="shared" si="42"/>
        <v>313130.45</v>
      </c>
      <c r="M98" s="2"/>
      <c r="N98" s="2"/>
      <c r="O98" s="2"/>
      <c r="P98" s="2">
        <v>313130.45</v>
      </c>
      <c r="Q98" s="41">
        <f t="shared" si="43"/>
        <v>313130.45</v>
      </c>
      <c r="R98" s="2"/>
      <c r="S98" s="2"/>
      <c r="T98" s="2"/>
      <c r="U98" s="2">
        <v>313130.45</v>
      </c>
      <c r="V98" s="46">
        <f t="shared" si="44"/>
        <v>0</v>
      </c>
      <c r="W98" s="2"/>
      <c r="X98" s="2"/>
      <c r="Y98" s="2"/>
      <c r="Z98" s="2"/>
      <c r="AA98" s="2">
        <f>U98-P98</f>
        <v>0</v>
      </c>
      <c r="AB98" s="2">
        <f t="shared" si="45"/>
        <v>313130.45</v>
      </c>
      <c r="AC98" s="205" t="s">
        <v>343</v>
      </c>
    </row>
    <row r="99" spans="1:30" s="65" customFormat="1" ht="24" x14ac:dyDescent="0.25">
      <c r="A99" s="60" t="s">
        <v>103</v>
      </c>
      <c r="B99" s="61" t="s">
        <v>15</v>
      </c>
      <c r="C99" s="61">
        <v>226</v>
      </c>
      <c r="D99" s="62" t="s">
        <v>157</v>
      </c>
      <c r="E99" s="62"/>
      <c r="F99" s="7">
        <v>977401.46</v>
      </c>
      <c r="G99" s="98"/>
      <c r="H99" s="253"/>
      <c r="I99" s="7">
        <f t="shared" si="39"/>
        <v>977401.46</v>
      </c>
      <c r="J99" s="7"/>
      <c r="K99" s="7"/>
      <c r="L99" s="63">
        <f t="shared" si="42"/>
        <v>977401.46</v>
      </c>
      <c r="M99" s="7"/>
      <c r="N99" s="7"/>
      <c r="O99" s="7"/>
      <c r="P99" s="7">
        <v>977401.46</v>
      </c>
      <c r="Q99" s="63">
        <f t="shared" si="43"/>
        <v>977401.46</v>
      </c>
      <c r="R99" s="7"/>
      <c r="S99" s="7"/>
      <c r="T99" s="7"/>
      <c r="U99" s="7">
        <f>977401.46</f>
        <v>977401.46</v>
      </c>
      <c r="V99" s="64">
        <f t="shared" si="44"/>
        <v>635310.94999999995</v>
      </c>
      <c r="W99" s="7"/>
      <c r="X99" s="7"/>
      <c r="Y99" s="7"/>
      <c r="Z99" s="7">
        <v>635310.94999999995</v>
      </c>
      <c r="AA99" s="7">
        <f>U99-P99</f>
        <v>0</v>
      </c>
      <c r="AB99" s="7">
        <f>P99-Z99</f>
        <v>342090.51</v>
      </c>
      <c r="AC99" s="205" t="s">
        <v>343</v>
      </c>
    </row>
    <row r="100" spans="1:30" s="65" customFormat="1" ht="36" x14ac:dyDescent="0.25">
      <c r="A100" s="60" t="s">
        <v>104</v>
      </c>
      <c r="B100" s="61" t="s">
        <v>14</v>
      </c>
      <c r="C100" s="61">
        <v>226</v>
      </c>
      <c r="D100" s="66" t="s">
        <v>233</v>
      </c>
      <c r="E100" s="203" t="s">
        <v>341</v>
      </c>
      <c r="F100" s="7">
        <v>2791737.8</v>
      </c>
      <c r="G100" s="98"/>
      <c r="H100" s="253">
        <v>1814629.57</v>
      </c>
      <c r="I100" s="7">
        <f>F100-G100-H100</f>
        <v>977108.22999999975</v>
      </c>
      <c r="J100" s="7"/>
      <c r="K100" s="7"/>
      <c r="L100" s="63">
        <f t="shared" si="42"/>
        <v>977108.23</v>
      </c>
      <c r="M100" s="7"/>
      <c r="N100" s="7"/>
      <c r="O100" s="7"/>
      <c r="P100" s="7">
        <v>977108.23</v>
      </c>
      <c r="Q100" s="63">
        <f t="shared" si="43"/>
        <v>977108.23</v>
      </c>
      <c r="R100" s="7"/>
      <c r="S100" s="7"/>
      <c r="T100" s="7"/>
      <c r="U100" s="7">
        <v>977108.23</v>
      </c>
      <c r="V100" s="64">
        <f t="shared" si="44"/>
        <v>0</v>
      </c>
      <c r="W100" s="7"/>
      <c r="X100" s="7"/>
      <c r="Y100" s="7"/>
      <c r="Z100" s="7">
        <v>0</v>
      </c>
      <c r="AA100" s="7">
        <f>U100-P100</f>
        <v>0</v>
      </c>
      <c r="AB100" s="7">
        <f t="shared" si="45"/>
        <v>977108.23</v>
      </c>
      <c r="AC100" s="205" t="s">
        <v>343</v>
      </c>
    </row>
    <row r="101" spans="1:30" ht="24" x14ac:dyDescent="0.25">
      <c r="A101" s="282" t="s">
        <v>105</v>
      </c>
      <c r="B101" s="3" t="s">
        <v>21</v>
      </c>
      <c r="C101" s="3">
        <v>226</v>
      </c>
      <c r="D101" s="25" t="s">
        <v>173</v>
      </c>
      <c r="E101" s="25"/>
      <c r="F101" s="2">
        <v>99396</v>
      </c>
      <c r="G101" s="98"/>
      <c r="H101" s="253">
        <v>99396</v>
      </c>
      <c r="I101" s="7">
        <f>F101-G101-H101</f>
        <v>0</v>
      </c>
      <c r="J101" s="2"/>
      <c r="K101" s="2"/>
      <c r="L101" s="41">
        <f t="shared" si="42"/>
        <v>0</v>
      </c>
      <c r="M101" s="2"/>
      <c r="N101" s="2"/>
      <c r="O101" s="2"/>
      <c r="P101" s="2"/>
      <c r="Q101" s="41">
        <f t="shared" si="43"/>
        <v>0</v>
      </c>
      <c r="R101" s="2"/>
      <c r="S101" s="2"/>
      <c r="T101" s="2"/>
      <c r="U101" s="2"/>
      <c r="V101" s="46">
        <f t="shared" si="44"/>
        <v>0</v>
      </c>
      <c r="W101" s="2"/>
      <c r="X101" s="2"/>
      <c r="Y101" s="2"/>
      <c r="Z101" s="2"/>
      <c r="AA101" s="2"/>
      <c r="AB101" s="7">
        <f t="shared" si="45"/>
        <v>0</v>
      </c>
      <c r="AC101" s="205" t="s">
        <v>343</v>
      </c>
    </row>
    <row r="102" spans="1:30" s="65" customFormat="1" ht="62.25" customHeight="1" x14ac:dyDescent="0.25">
      <c r="A102" s="60" t="s">
        <v>216</v>
      </c>
      <c r="B102" s="61" t="s">
        <v>208</v>
      </c>
      <c r="C102" s="61">
        <v>226</v>
      </c>
      <c r="D102" s="66" t="s">
        <v>217</v>
      </c>
      <c r="E102" s="66"/>
      <c r="F102" s="7">
        <v>50130.49</v>
      </c>
      <c r="G102" s="98"/>
      <c r="H102" s="253"/>
      <c r="I102" s="7">
        <f>F102-G102-H102</f>
        <v>50130.49</v>
      </c>
      <c r="J102" s="7"/>
      <c r="K102" s="7"/>
      <c r="L102" s="63">
        <f t="shared" si="42"/>
        <v>50130.49</v>
      </c>
      <c r="M102" s="7"/>
      <c r="N102" s="7"/>
      <c r="O102" s="7"/>
      <c r="P102" s="7">
        <v>50130.49</v>
      </c>
      <c r="Q102" s="63">
        <f t="shared" si="43"/>
        <v>50130.49</v>
      </c>
      <c r="R102" s="7"/>
      <c r="S102" s="7"/>
      <c r="T102" s="7"/>
      <c r="U102" s="7">
        <v>50130.49</v>
      </c>
      <c r="V102" s="64">
        <f t="shared" si="44"/>
        <v>15039.15</v>
      </c>
      <c r="W102" s="7"/>
      <c r="X102" s="7"/>
      <c r="Y102" s="7"/>
      <c r="Z102" s="7">
        <v>15039.15</v>
      </c>
      <c r="AA102" s="7">
        <f>U102-P102</f>
        <v>0</v>
      </c>
      <c r="AB102" s="7">
        <f t="shared" si="45"/>
        <v>35091.339999999997</v>
      </c>
      <c r="AC102" s="205" t="s">
        <v>343</v>
      </c>
    </row>
    <row r="103" spans="1:30" s="65" customFormat="1" ht="48.75" customHeight="1" x14ac:dyDescent="0.25">
      <c r="A103" s="60" t="s">
        <v>251</v>
      </c>
      <c r="B103" s="68" t="s">
        <v>248</v>
      </c>
      <c r="C103" s="68">
        <v>226</v>
      </c>
      <c r="D103" s="121" t="s">
        <v>308</v>
      </c>
      <c r="E103" s="121"/>
      <c r="F103" s="7">
        <v>1239</v>
      </c>
      <c r="G103" s="98"/>
      <c r="H103" s="253"/>
      <c r="I103" s="7">
        <f>F103-G103-H103</f>
        <v>1239</v>
      </c>
      <c r="J103" s="7"/>
      <c r="K103" s="7"/>
      <c r="L103" s="63">
        <f>SUM(M103:P103)</f>
        <v>1239</v>
      </c>
      <c r="M103" s="7"/>
      <c r="N103" s="7"/>
      <c r="O103" s="7"/>
      <c r="P103" s="7">
        <v>1239</v>
      </c>
      <c r="Q103" s="63">
        <f t="shared" si="43"/>
        <v>1239</v>
      </c>
      <c r="R103" s="7"/>
      <c r="S103" s="7"/>
      <c r="T103" s="7"/>
      <c r="U103" s="7">
        <v>1239</v>
      </c>
      <c r="V103" s="64">
        <f t="shared" si="44"/>
        <v>1239</v>
      </c>
      <c r="W103" s="7"/>
      <c r="X103" s="7"/>
      <c r="Y103" s="7"/>
      <c r="Z103" s="7">
        <v>1239</v>
      </c>
      <c r="AA103" s="7">
        <f>U103-P103</f>
        <v>0</v>
      </c>
      <c r="AB103" s="7">
        <f>P103-Z103</f>
        <v>0</v>
      </c>
      <c r="AC103" s="205" t="s">
        <v>343</v>
      </c>
    </row>
    <row r="104" spans="1:30" s="14" customFormat="1" ht="27.75" customHeight="1" x14ac:dyDescent="0.25">
      <c r="A104" s="11" t="s">
        <v>39</v>
      </c>
      <c r="B104" s="15" t="s">
        <v>6</v>
      </c>
      <c r="C104" s="15"/>
      <c r="D104" s="15"/>
      <c r="E104" s="15"/>
      <c r="F104" s="13">
        <f>SUM(F106:F120)</f>
        <v>97847770.829999983</v>
      </c>
      <c r="G104" s="102">
        <f>SUM(G106:G120)</f>
        <v>348175.05</v>
      </c>
      <c r="H104" s="258">
        <f>SUM(H106:H120)</f>
        <v>9415715.6600000001</v>
      </c>
      <c r="I104" s="89">
        <f>SUM(I106:I120)</f>
        <v>88083880.11999999</v>
      </c>
      <c r="J104" s="128">
        <f>SUM(J106:J120)</f>
        <v>1758.57</v>
      </c>
      <c r="K104" s="13">
        <f>F104/J104</f>
        <v>55640.532267694769</v>
      </c>
      <c r="L104" s="40">
        <f>SUM(L106:L120)</f>
        <v>88083880.11999999</v>
      </c>
      <c r="M104" s="13">
        <f t="shared" ref="M104:AB104" si="46">SUM(M106:M120)</f>
        <v>14658204.51</v>
      </c>
      <c r="N104" s="13">
        <f t="shared" si="46"/>
        <v>33203504.039999999</v>
      </c>
      <c r="O104" s="13">
        <f t="shared" si="46"/>
        <v>4061220.46</v>
      </c>
      <c r="P104" s="13">
        <f t="shared" si="46"/>
        <v>36160951.109999999</v>
      </c>
      <c r="Q104" s="40">
        <f>SUM(Q106:Q120)</f>
        <v>88083880.11999999</v>
      </c>
      <c r="R104" s="13">
        <f t="shared" si="46"/>
        <v>14658204.51</v>
      </c>
      <c r="S104" s="13">
        <f t="shared" si="46"/>
        <v>33203504.039999999</v>
      </c>
      <c r="T104" s="13">
        <f t="shared" si="46"/>
        <v>4061220.4600000004</v>
      </c>
      <c r="U104" s="13">
        <f t="shared" si="46"/>
        <v>36160951.109999999</v>
      </c>
      <c r="V104" s="40">
        <f>SUM(V106:V120)</f>
        <v>31095289.849999994</v>
      </c>
      <c r="W104" s="13">
        <f t="shared" si="46"/>
        <v>8155127.9899999993</v>
      </c>
      <c r="X104" s="13">
        <f t="shared" si="46"/>
        <v>19718053.249999996</v>
      </c>
      <c r="Y104" s="13">
        <f t="shared" si="46"/>
        <v>2364594.02</v>
      </c>
      <c r="Z104" s="13">
        <f t="shared" si="46"/>
        <v>857514.59</v>
      </c>
      <c r="AA104" s="40">
        <f t="shared" si="46"/>
        <v>0</v>
      </c>
      <c r="AB104" s="40">
        <f t="shared" si="46"/>
        <v>37000062.960000008</v>
      </c>
      <c r="AC104" s="207"/>
    </row>
    <row r="105" spans="1:30" ht="102" customHeight="1" x14ac:dyDescent="0.25">
      <c r="A105" s="351" t="s">
        <v>106</v>
      </c>
      <c r="B105" s="1" t="s">
        <v>32</v>
      </c>
      <c r="C105" s="323">
        <v>310</v>
      </c>
      <c r="D105" s="318" t="s">
        <v>350</v>
      </c>
      <c r="E105" s="279"/>
      <c r="F105" s="76">
        <f>SUM(F106:F107)</f>
        <v>89259280</v>
      </c>
      <c r="G105" s="107"/>
      <c r="H105" s="262">
        <f>SUM(H106:H107)</f>
        <v>4570380</v>
      </c>
      <c r="I105" s="7">
        <f>SUM(I106:I107)</f>
        <v>84688900</v>
      </c>
      <c r="J105" s="129">
        <f>SUM(J106:J107)</f>
        <v>1758.57</v>
      </c>
      <c r="K105" s="36">
        <f>F105/J105</f>
        <v>50756.739851129045</v>
      </c>
      <c r="L105" s="41">
        <f t="shared" ref="L105:AB105" si="47">SUM(L106:L107)</f>
        <v>84688900</v>
      </c>
      <c r="M105" s="2">
        <f t="shared" si="47"/>
        <v>14658204.51</v>
      </c>
      <c r="N105" s="2">
        <f t="shared" si="47"/>
        <v>33203504.039999999</v>
      </c>
      <c r="O105" s="2">
        <f t="shared" si="47"/>
        <v>4061220.46</v>
      </c>
      <c r="P105" s="2">
        <f t="shared" si="47"/>
        <v>32765970.989999998</v>
      </c>
      <c r="Q105" s="41">
        <f t="shared" si="47"/>
        <v>84688900</v>
      </c>
      <c r="R105" s="2">
        <f t="shared" si="47"/>
        <v>14658204.51</v>
      </c>
      <c r="S105" s="2">
        <f t="shared" si="47"/>
        <v>33203504.039999999</v>
      </c>
      <c r="T105" s="2">
        <f t="shared" si="47"/>
        <v>4061220.4600000004</v>
      </c>
      <c r="U105" s="2">
        <f t="shared" si="47"/>
        <v>32765970.989999998</v>
      </c>
      <c r="V105" s="41">
        <f t="shared" si="47"/>
        <v>30237775.259999994</v>
      </c>
      <c r="W105" s="2">
        <f t="shared" si="47"/>
        <v>8155127.9899999993</v>
      </c>
      <c r="X105" s="2">
        <f t="shared" si="47"/>
        <v>19718053.249999996</v>
      </c>
      <c r="Y105" s="2">
        <f t="shared" si="47"/>
        <v>2364594.02</v>
      </c>
      <c r="Z105" s="2">
        <f t="shared" si="47"/>
        <v>0</v>
      </c>
      <c r="AA105" s="41">
        <f t="shared" si="47"/>
        <v>0</v>
      </c>
      <c r="AB105" s="41">
        <f t="shared" si="47"/>
        <v>34462597.43</v>
      </c>
    </row>
    <row r="106" spans="1:30" x14ac:dyDescent="0.25">
      <c r="A106" s="352"/>
      <c r="B106" s="1" t="s">
        <v>193</v>
      </c>
      <c r="C106" s="324"/>
      <c r="D106" s="319"/>
      <c r="E106" s="280"/>
      <c r="F106" s="134">
        <v>86605650.280000001</v>
      </c>
      <c r="G106" s="98"/>
      <c r="H106" s="253">
        <v>4570380</v>
      </c>
      <c r="I106" s="7">
        <f t="shared" ref="I106:I116" si="48">F106-G106-H106</f>
        <v>82035270.280000001</v>
      </c>
      <c r="J106" s="36">
        <v>1707.98</v>
      </c>
      <c r="K106" s="36"/>
      <c r="L106" s="41">
        <f>SUM(M106:P106)</f>
        <v>82035270.280000001</v>
      </c>
      <c r="M106" s="36">
        <v>13530379.359999999</v>
      </c>
      <c r="N106" s="36">
        <v>32709384.879999999</v>
      </c>
      <c r="O106" s="129">
        <v>3923595.77</v>
      </c>
      <c r="P106" s="36">
        <f>4362368+27509542.27</f>
        <v>31871910.27</v>
      </c>
      <c r="Q106" s="41">
        <f>SUM(R106:U106)</f>
        <v>82035270.280000001</v>
      </c>
      <c r="R106" s="36">
        <f>14763010.85-1232631.49</f>
        <v>13530379.359999999</v>
      </c>
      <c r="S106" s="36">
        <f>35689729.68-2980344.8</f>
        <v>32709384.879999999</v>
      </c>
      <c r="T106" s="36">
        <f>4280999.48-357403.71</f>
        <v>3923595.7700000005</v>
      </c>
      <c r="U106" s="36">
        <f>4362368+27509542.27</f>
        <v>31871910.27</v>
      </c>
      <c r="V106" s="46">
        <f>SUM(W106:Z106)</f>
        <v>30237775.259999994</v>
      </c>
      <c r="W106" s="129">
        <f>5515657.55+1132751.43+355733.98+1150985.03</f>
        <v>8155127.9899999993</v>
      </c>
      <c r="X106" s="129">
        <f>13336152.35+2738847.62+860119.13+2782934.15</f>
        <v>19718053.249999996</v>
      </c>
      <c r="Y106" s="129">
        <f>1599274.82+328443.31+103145.71+333730.18</f>
        <v>2364594.02</v>
      </c>
      <c r="Z106" s="129">
        <v>0</v>
      </c>
      <c r="AA106" s="36">
        <f>T106-O106</f>
        <v>0</v>
      </c>
      <c r="AB106" s="36">
        <f>AA106+O106-Y106+P106</f>
        <v>33430912.02</v>
      </c>
      <c r="AC106" s="208">
        <f>O106+P106-Y106-Z106+AA106</f>
        <v>33430912.02</v>
      </c>
      <c r="AD106" s="49">
        <f>Y106+X106+W106+H106+Z106</f>
        <v>34808155.25999999</v>
      </c>
    </row>
    <row r="107" spans="1:30" x14ac:dyDescent="0.25">
      <c r="A107" s="353"/>
      <c r="B107" s="1" t="s">
        <v>194</v>
      </c>
      <c r="C107" s="325"/>
      <c r="D107" s="320"/>
      <c r="E107" s="281"/>
      <c r="F107" s="135">
        <v>2653629.7200000002</v>
      </c>
      <c r="G107" s="108"/>
      <c r="H107" s="263">
        <v>0</v>
      </c>
      <c r="I107" s="7">
        <f t="shared" si="48"/>
        <v>2653629.7200000002</v>
      </c>
      <c r="J107" s="36">
        <v>50.59</v>
      </c>
      <c r="K107" s="36"/>
      <c r="L107" s="41">
        <f>SUM(M107:P107)</f>
        <v>2653629.7199999997</v>
      </c>
      <c r="M107" s="36">
        <v>1127825.1499999999</v>
      </c>
      <c r="N107" s="36">
        <v>494119.16</v>
      </c>
      <c r="O107" s="36">
        <v>137624.69</v>
      </c>
      <c r="P107" s="129">
        <v>894060.72</v>
      </c>
      <c r="Q107" s="41">
        <f>SUM(R107:U107)</f>
        <v>2653629.7199999997</v>
      </c>
      <c r="R107" s="36">
        <v>1127825.1499999999</v>
      </c>
      <c r="S107" s="36">
        <v>494119.16</v>
      </c>
      <c r="T107" s="36">
        <v>137624.69</v>
      </c>
      <c r="U107" s="36">
        <f>79234+814826.72</f>
        <v>894060.72</v>
      </c>
      <c r="V107" s="46">
        <f>SUM(W107:Z107)</f>
        <v>0</v>
      </c>
      <c r="W107" s="129">
        <v>0</v>
      </c>
      <c r="X107" s="129">
        <v>0</v>
      </c>
      <c r="Y107" s="129">
        <v>0</v>
      </c>
      <c r="Z107" s="129">
        <v>0</v>
      </c>
      <c r="AA107" s="36">
        <f>U107-P107</f>
        <v>0</v>
      </c>
      <c r="AB107" s="36">
        <f>AA107+O107+P107</f>
        <v>1031685.4099999999</v>
      </c>
      <c r="AC107" s="208">
        <f>O107+P107-Y107-Z107+AA107</f>
        <v>1031685.4099999999</v>
      </c>
    </row>
    <row r="108" spans="1:30" ht="24" x14ac:dyDescent="0.25">
      <c r="A108" s="282" t="s">
        <v>107</v>
      </c>
      <c r="B108" s="3" t="s">
        <v>10</v>
      </c>
      <c r="C108" s="3">
        <v>226</v>
      </c>
      <c r="D108" s="25" t="s">
        <v>179</v>
      </c>
      <c r="E108" s="25"/>
      <c r="F108" s="2">
        <v>5000</v>
      </c>
      <c r="G108" s="98">
        <v>5000</v>
      </c>
      <c r="H108" s="253"/>
      <c r="I108" s="7">
        <f t="shared" si="48"/>
        <v>0</v>
      </c>
      <c r="J108" s="2"/>
      <c r="K108" s="2"/>
      <c r="L108" s="41">
        <f t="shared" ref="L108:L119" si="49">SUM(M108:P108)</f>
        <v>0</v>
      </c>
      <c r="M108" s="2"/>
      <c r="N108" s="2"/>
      <c r="O108" s="2"/>
      <c r="P108" s="2"/>
      <c r="Q108" s="41">
        <f t="shared" ref="Q108:Q120" si="50">SUM(R108:U108)</f>
        <v>0</v>
      </c>
      <c r="R108" s="2"/>
      <c r="S108" s="2"/>
      <c r="T108" s="2"/>
      <c r="U108" s="2"/>
      <c r="V108" s="46">
        <f t="shared" ref="V108:V120" si="51">SUM(W108:Z108)</f>
        <v>0</v>
      </c>
      <c r="W108" s="2"/>
      <c r="X108" s="2"/>
      <c r="Y108" s="2"/>
      <c r="Z108" s="2"/>
      <c r="AA108" s="2"/>
      <c r="AB108" s="2"/>
    </row>
    <row r="109" spans="1:30" s="8" customFormat="1" ht="24" x14ac:dyDescent="0.25">
      <c r="A109" s="5" t="s">
        <v>108</v>
      </c>
      <c r="B109" s="1" t="s">
        <v>8</v>
      </c>
      <c r="C109" s="1">
        <v>226</v>
      </c>
      <c r="D109" s="25" t="s">
        <v>167</v>
      </c>
      <c r="E109" s="25"/>
      <c r="F109" s="2">
        <v>7500</v>
      </c>
      <c r="G109" s="98"/>
      <c r="H109" s="253">
        <v>7500</v>
      </c>
      <c r="I109" s="7">
        <f t="shared" si="48"/>
        <v>0</v>
      </c>
      <c r="J109" s="2"/>
      <c r="K109" s="2"/>
      <c r="L109" s="41">
        <f t="shared" si="49"/>
        <v>0</v>
      </c>
      <c r="M109" s="2"/>
      <c r="N109" s="2"/>
      <c r="O109" s="2"/>
      <c r="P109" s="2"/>
      <c r="Q109" s="41">
        <f t="shared" si="50"/>
        <v>0</v>
      </c>
      <c r="R109" s="2"/>
      <c r="S109" s="2"/>
      <c r="T109" s="2"/>
      <c r="U109" s="2"/>
      <c r="V109" s="77">
        <f t="shared" si="51"/>
        <v>0</v>
      </c>
      <c r="W109" s="2"/>
      <c r="X109" s="2"/>
      <c r="Y109" s="2"/>
      <c r="Z109" s="2"/>
      <c r="AA109" s="2"/>
      <c r="AB109" s="2"/>
      <c r="AC109" s="205"/>
    </row>
    <row r="110" spans="1:30" s="8" customFormat="1" ht="24" x14ac:dyDescent="0.25">
      <c r="A110" s="5" t="s">
        <v>109</v>
      </c>
      <c r="B110" s="1" t="s">
        <v>1</v>
      </c>
      <c r="C110" s="1">
        <v>226</v>
      </c>
      <c r="D110" s="25" t="s">
        <v>168</v>
      </c>
      <c r="E110" s="25"/>
      <c r="F110" s="2">
        <v>343175.05</v>
      </c>
      <c r="G110" s="98">
        <v>343175.05</v>
      </c>
      <c r="H110" s="253"/>
      <c r="I110" s="7">
        <f t="shared" si="48"/>
        <v>0</v>
      </c>
      <c r="J110" s="2"/>
      <c r="K110" s="2"/>
      <c r="L110" s="41">
        <f t="shared" si="49"/>
        <v>0</v>
      </c>
      <c r="M110" s="2"/>
      <c r="N110" s="2"/>
      <c r="O110" s="2"/>
      <c r="P110" s="2"/>
      <c r="Q110" s="41">
        <f t="shared" si="50"/>
        <v>0</v>
      </c>
      <c r="R110" s="2"/>
      <c r="S110" s="2"/>
      <c r="T110" s="2"/>
      <c r="U110" s="2"/>
      <c r="V110" s="77">
        <f t="shared" si="51"/>
        <v>0</v>
      </c>
      <c r="W110" s="2"/>
      <c r="X110" s="2"/>
      <c r="Y110" s="2"/>
      <c r="Z110" s="2"/>
      <c r="AA110" s="2"/>
      <c r="AB110" s="2"/>
      <c r="AC110" s="205"/>
    </row>
    <row r="111" spans="1:30" s="8" customFormat="1" ht="27" customHeight="1" x14ac:dyDescent="0.25">
      <c r="A111" s="5" t="s">
        <v>110</v>
      </c>
      <c r="B111" s="1" t="s">
        <v>1</v>
      </c>
      <c r="C111" s="1">
        <v>226</v>
      </c>
      <c r="D111" s="25" t="s">
        <v>181</v>
      </c>
      <c r="E111" s="25"/>
      <c r="F111" s="2">
        <v>19641.689999999999</v>
      </c>
      <c r="G111" s="98"/>
      <c r="H111" s="253">
        <v>19641.689999999999</v>
      </c>
      <c r="I111" s="7">
        <f t="shared" si="48"/>
        <v>0</v>
      </c>
      <c r="J111" s="2"/>
      <c r="K111" s="2"/>
      <c r="L111" s="41">
        <f t="shared" si="49"/>
        <v>0</v>
      </c>
      <c r="M111" s="2"/>
      <c r="N111" s="2"/>
      <c r="O111" s="2"/>
      <c r="P111" s="2"/>
      <c r="Q111" s="41">
        <f t="shared" si="50"/>
        <v>0</v>
      </c>
      <c r="R111" s="2"/>
      <c r="S111" s="2"/>
      <c r="T111" s="2"/>
      <c r="U111" s="2"/>
      <c r="V111" s="77">
        <f t="shared" si="51"/>
        <v>0</v>
      </c>
      <c r="W111" s="2"/>
      <c r="X111" s="2"/>
      <c r="Y111" s="2"/>
      <c r="Z111" s="2"/>
      <c r="AA111" s="2"/>
      <c r="AB111" s="2"/>
      <c r="AC111" s="205"/>
    </row>
    <row r="112" spans="1:30" s="8" customFormat="1" ht="36" x14ac:dyDescent="0.25">
      <c r="A112" s="5" t="s">
        <v>111</v>
      </c>
      <c r="B112" s="1" t="s">
        <v>11</v>
      </c>
      <c r="C112" s="1">
        <v>226</v>
      </c>
      <c r="D112" s="25" t="s">
        <v>123</v>
      </c>
      <c r="E112" s="25"/>
      <c r="F112" s="2">
        <v>1576395</v>
      </c>
      <c r="G112" s="98"/>
      <c r="H112" s="253">
        <v>1576395</v>
      </c>
      <c r="I112" s="7">
        <f t="shared" si="48"/>
        <v>0</v>
      </c>
      <c r="J112" s="2"/>
      <c r="K112" s="2"/>
      <c r="L112" s="41">
        <f t="shared" si="49"/>
        <v>0</v>
      </c>
      <c r="M112" s="2"/>
      <c r="N112" s="2"/>
      <c r="O112" s="2"/>
      <c r="P112" s="2"/>
      <c r="Q112" s="41">
        <f t="shared" si="50"/>
        <v>0</v>
      </c>
      <c r="R112" s="2"/>
      <c r="S112" s="2"/>
      <c r="T112" s="2"/>
      <c r="U112" s="2"/>
      <c r="V112" s="77">
        <f t="shared" si="51"/>
        <v>0</v>
      </c>
      <c r="W112" s="2"/>
      <c r="X112" s="2"/>
      <c r="Y112" s="2"/>
      <c r="Z112" s="2"/>
      <c r="AA112" s="2"/>
      <c r="AB112" s="2"/>
      <c r="AC112" s="205"/>
    </row>
    <row r="113" spans="1:32" s="65" customFormat="1" ht="24" x14ac:dyDescent="0.25">
      <c r="A113" s="60" t="s">
        <v>112</v>
      </c>
      <c r="B113" s="61" t="s">
        <v>20</v>
      </c>
      <c r="C113" s="61">
        <v>226</v>
      </c>
      <c r="D113" s="66" t="s">
        <v>130</v>
      </c>
      <c r="E113" s="66" t="s">
        <v>336</v>
      </c>
      <c r="F113" s="7">
        <v>151286.91</v>
      </c>
      <c r="G113" s="98"/>
      <c r="H113" s="253">
        <v>7746.41</v>
      </c>
      <c r="I113" s="7">
        <f t="shared" si="48"/>
        <v>143540.5</v>
      </c>
      <c r="J113" s="7"/>
      <c r="K113" s="7"/>
      <c r="L113" s="63">
        <f t="shared" si="49"/>
        <v>143540.5</v>
      </c>
      <c r="M113" s="7"/>
      <c r="N113" s="7"/>
      <c r="O113" s="7"/>
      <c r="P113" s="7">
        <v>143540.5</v>
      </c>
      <c r="Q113" s="63">
        <f t="shared" si="50"/>
        <v>143540.5</v>
      </c>
      <c r="R113" s="7"/>
      <c r="S113" s="7"/>
      <c r="T113" s="7"/>
      <c r="U113" s="7">
        <v>143540.5</v>
      </c>
      <c r="V113" s="64">
        <f t="shared" si="51"/>
        <v>41781.57</v>
      </c>
      <c r="W113" s="7"/>
      <c r="X113" s="7"/>
      <c r="Y113" s="7"/>
      <c r="Z113" s="7">
        <f>13297.08+15980.55+12503.94</f>
        <v>41781.57</v>
      </c>
      <c r="AA113" s="7">
        <f>U113-P113</f>
        <v>0</v>
      </c>
      <c r="AB113" s="7">
        <f>P113-Z113</f>
        <v>101758.93</v>
      </c>
      <c r="AC113" s="205" t="s">
        <v>343</v>
      </c>
    </row>
    <row r="114" spans="1:32" ht="36" x14ac:dyDescent="0.25">
      <c r="A114" s="282" t="s">
        <v>113</v>
      </c>
      <c r="B114" s="3" t="s">
        <v>12</v>
      </c>
      <c r="C114" s="3">
        <v>226</v>
      </c>
      <c r="D114" s="25" t="s">
        <v>135</v>
      </c>
      <c r="E114" s="203" t="s">
        <v>338</v>
      </c>
      <c r="F114" s="2">
        <v>516212.6</v>
      </c>
      <c r="G114" s="98"/>
      <c r="H114" s="253">
        <v>154863.78</v>
      </c>
      <c r="I114" s="7">
        <f t="shared" si="48"/>
        <v>361348.81999999995</v>
      </c>
      <c r="J114" s="2"/>
      <c r="K114" s="2"/>
      <c r="L114" s="41">
        <f t="shared" si="49"/>
        <v>361348.82</v>
      </c>
      <c r="M114" s="2"/>
      <c r="N114" s="2"/>
      <c r="O114" s="2"/>
      <c r="P114" s="2">
        <v>361348.82</v>
      </c>
      <c r="Q114" s="41">
        <f t="shared" si="50"/>
        <v>361348.82</v>
      </c>
      <c r="R114" s="2"/>
      <c r="S114" s="2"/>
      <c r="T114" s="2"/>
      <c r="U114" s="2">
        <v>361348.82</v>
      </c>
      <c r="V114" s="46">
        <f t="shared" si="51"/>
        <v>0</v>
      </c>
      <c r="W114" s="2"/>
      <c r="X114" s="2"/>
      <c r="Y114" s="2"/>
      <c r="Z114" s="2"/>
      <c r="AA114" s="2">
        <f>U114-P114</f>
        <v>0</v>
      </c>
      <c r="AB114" s="2">
        <f t="shared" ref="AB114:AB119" si="52">P114-Z114</f>
        <v>361348.82</v>
      </c>
      <c r="AC114" s="205" t="s">
        <v>343</v>
      </c>
    </row>
    <row r="115" spans="1:32" ht="24" x14ac:dyDescent="0.25">
      <c r="A115" s="282" t="s">
        <v>114</v>
      </c>
      <c r="B115" s="3" t="s">
        <v>13</v>
      </c>
      <c r="C115" s="3">
        <v>226</v>
      </c>
      <c r="D115" s="26" t="s">
        <v>141</v>
      </c>
      <c r="E115" s="26"/>
      <c r="F115" s="2">
        <v>1125538.02</v>
      </c>
      <c r="G115" s="98"/>
      <c r="H115" s="253">
        <v>731599.71</v>
      </c>
      <c r="I115" s="7">
        <f t="shared" si="48"/>
        <v>393938.31000000006</v>
      </c>
      <c r="J115" s="2"/>
      <c r="K115" s="2"/>
      <c r="L115" s="41">
        <f t="shared" si="49"/>
        <v>393938.31</v>
      </c>
      <c r="M115" s="2"/>
      <c r="N115" s="2"/>
      <c r="O115" s="2"/>
      <c r="P115" s="2">
        <v>393938.31</v>
      </c>
      <c r="Q115" s="41">
        <f t="shared" si="50"/>
        <v>393938.31</v>
      </c>
      <c r="R115" s="2"/>
      <c r="S115" s="2"/>
      <c r="T115" s="2"/>
      <c r="U115" s="2">
        <v>393938.31</v>
      </c>
      <c r="V115" s="46">
        <f t="shared" si="51"/>
        <v>0</v>
      </c>
      <c r="W115" s="2"/>
      <c r="X115" s="2"/>
      <c r="Y115" s="2"/>
      <c r="Z115" s="2"/>
      <c r="AA115" s="2">
        <f>U115-P115</f>
        <v>0</v>
      </c>
      <c r="AB115" s="2">
        <f t="shared" si="52"/>
        <v>393938.31</v>
      </c>
      <c r="AC115" s="205" t="s">
        <v>343</v>
      </c>
    </row>
    <row r="116" spans="1:32" s="65" customFormat="1" ht="24" x14ac:dyDescent="0.25">
      <c r="A116" s="60" t="s">
        <v>115</v>
      </c>
      <c r="B116" s="61" t="s">
        <v>15</v>
      </c>
      <c r="C116" s="61">
        <v>226</v>
      </c>
      <c r="D116" s="62" t="s">
        <v>160</v>
      </c>
      <c r="E116" s="62"/>
      <c r="F116" s="7">
        <v>1226288.8400000001</v>
      </c>
      <c r="G116" s="98"/>
      <c r="H116" s="253"/>
      <c r="I116" s="7">
        <f t="shared" si="48"/>
        <v>1226288.8400000001</v>
      </c>
      <c r="J116" s="7"/>
      <c r="K116" s="7"/>
      <c r="L116" s="63">
        <f t="shared" si="49"/>
        <v>1226288.8400000001</v>
      </c>
      <c r="M116" s="7"/>
      <c r="N116" s="7"/>
      <c r="O116" s="7"/>
      <c r="P116" s="7">
        <v>1226288.8400000001</v>
      </c>
      <c r="Q116" s="63">
        <f t="shared" si="50"/>
        <v>1226288.8400000001</v>
      </c>
      <c r="R116" s="7"/>
      <c r="S116" s="7"/>
      <c r="T116" s="7"/>
      <c r="U116" s="7">
        <v>1226288.8400000001</v>
      </c>
      <c r="V116" s="64">
        <f t="shared" si="51"/>
        <v>797087.75</v>
      </c>
      <c r="W116" s="7"/>
      <c r="X116" s="7"/>
      <c r="Y116" s="7"/>
      <c r="Z116" s="7">
        <v>797087.75</v>
      </c>
      <c r="AA116" s="7">
        <f>U116-P116</f>
        <v>0</v>
      </c>
      <c r="AB116" s="7">
        <f t="shared" si="52"/>
        <v>429201.09000000008</v>
      </c>
      <c r="AC116" s="205" t="s">
        <v>343</v>
      </c>
    </row>
    <row r="117" spans="1:32" s="65" customFormat="1" ht="36" x14ac:dyDescent="0.25">
      <c r="A117" s="60" t="s">
        <v>116</v>
      </c>
      <c r="B117" s="61" t="s">
        <v>14</v>
      </c>
      <c r="C117" s="61">
        <v>226</v>
      </c>
      <c r="D117" s="66" t="s">
        <v>234</v>
      </c>
      <c r="E117" s="203" t="s">
        <v>341</v>
      </c>
      <c r="F117" s="7">
        <v>3458867.81</v>
      </c>
      <c r="G117" s="98"/>
      <c r="H117" s="253">
        <v>2248264.0699999998</v>
      </c>
      <c r="I117" s="7">
        <f>F117-G117-H117</f>
        <v>1210603.7400000002</v>
      </c>
      <c r="J117" s="7"/>
      <c r="K117" s="7"/>
      <c r="L117" s="63">
        <f t="shared" si="49"/>
        <v>1210603.74</v>
      </c>
      <c r="M117" s="7"/>
      <c r="N117" s="7"/>
      <c r="O117" s="7"/>
      <c r="P117" s="7">
        <v>1210603.74</v>
      </c>
      <c r="Q117" s="63">
        <f t="shared" si="50"/>
        <v>1210603.74</v>
      </c>
      <c r="R117" s="7"/>
      <c r="S117" s="7"/>
      <c r="T117" s="7"/>
      <c r="U117" s="7">
        <v>1210603.74</v>
      </c>
      <c r="V117" s="64">
        <f t="shared" si="51"/>
        <v>0</v>
      </c>
      <c r="W117" s="7"/>
      <c r="X117" s="7"/>
      <c r="Y117" s="7"/>
      <c r="Z117" s="7">
        <v>0</v>
      </c>
      <c r="AA117" s="7">
        <f>U117-P117</f>
        <v>0</v>
      </c>
      <c r="AB117" s="7">
        <f t="shared" si="52"/>
        <v>1210603.74</v>
      </c>
      <c r="AC117" s="205" t="s">
        <v>343</v>
      </c>
    </row>
    <row r="118" spans="1:32" ht="24" x14ac:dyDescent="0.25">
      <c r="A118" s="282" t="s">
        <v>117</v>
      </c>
      <c r="B118" s="3" t="s">
        <v>21</v>
      </c>
      <c r="C118" s="3">
        <v>226</v>
      </c>
      <c r="D118" s="25" t="s">
        <v>175</v>
      </c>
      <c r="E118" s="25"/>
      <c r="F118" s="2">
        <v>99325</v>
      </c>
      <c r="G118" s="98"/>
      <c r="H118" s="253">
        <v>99325</v>
      </c>
      <c r="I118" s="7">
        <f>F118-G118-H118</f>
        <v>0</v>
      </c>
      <c r="J118" s="2"/>
      <c r="K118" s="2"/>
      <c r="L118" s="41">
        <f t="shared" si="49"/>
        <v>0</v>
      </c>
      <c r="M118" s="2"/>
      <c r="N118" s="2"/>
      <c r="O118" s="2"/>
      <c r="P118" s="2"/>
      <c r="Q118" s="41">
        <f t="shared" si="50"/>
        <v>0</v>
      </c>
      <c r="R118" s="2"/>
      <c r="S118" s="2"/>
      <c r="T118" s="2"/>
      <c r="U118" s="2"/>
      <c r="V118" s="46">
        <f t="shared" si="51"/>
        <v>0</v>
      </c>
      <c r="W118" s="2"/>
      <c r="X118" s="2"/>
      <c r="Y118" s="2"/>
      <c r="Z118" s="2"/>
      <c r="AA118" s="2"/>
      <c r="AB118" s="7">
        <f t="shared" si="52"/>
        <v>0</v>
      </c>
      <c r="AC118" s="205" t="s">
        <v>343</v>
      </c>
    </row>
    <row r="119" spans="1:32" s="65" customFormat="1" ht="63" customHeight="1" x14ac:dyDescent="0.25">
      <c r="A119" s="60" t="s">
        <v>218</v>
      </c>
      <c r="B119" s="61" t="s">
        <v>208</v>
      </c>
      <c r="C119" s="61">
        <v>226</v>
      </c>
      <c r="D119" s="66" t="s">
        <v>219</v>
      </c>
      <c r="E119" s="66"/>
      <c r="F119" s="7">
        <v>58020.91</v>
      </c>
      <c r="G119" s="98"/>
      <c r="H119" s="253"/>
      <c r="I119" s="7">
        <f>F119-G119-H119</f>
        <v>58020.91</v>
      </c>
      <c r="J119" s="7"/>
      <c r="K119" s="7"/>
      <c r="L119" s="63">
        <f t="shared" si="49"/>
        <v>58020.91</v>
      </c>
      <c r="M119" s="7"/>
      <c r="N119" s="7"/>
      <c r="O119" s="7"/>
      <c r="P119" s="7">
        <v>58020.91</v>
      </c>
      <c r="Q119" s="63">
        <f t="shared" si="50"/>
        <v>58020.91</v>
      </c>
      <c r="R119" s="7"/>
      <c r="S119" s="7"/>
      <c r="T119" s="7"/>
      <c r="U119" s="7">
        <v>58020.91</v>
      </c>
      <c r="V119" s="64">
        <f t="shared" si="51"/>
        <v>17406.27</v>
      </c>
      <c r="W119" s="7"/>
      <c r="X119" s="7"/>
      <c r="Y119" s="7"/>
      <c r="Z119" s="7">
        <v>17406.27</v>
      </c>
      <c r="AA119" s="7">
        <f>U119-P119</f>
        <v>0</v>
      </c>
      <c r="AB119" s="7">
        <f t="shared" si="52"/>
        <v>40614.639999999999</v>
      </c>
      <c r="AC119" s="205" t="s">
        <v>343</v>
      </c>
    </row>
    <row r="120" spans="1:32" s="65" customFormat="1" ht="48.75" customHeight="1" x14ac:dyDescent="0.25">
      <c r="A120" s="60" t="s">
        <v>250</v>
      </c>
      <c r="B120" s="68" t="s">
        <v>248</v>
      </c>
      <c r="C120" s="68">
        <v>226</v>
      </c>
      <c r="D120" s="121" t="s">
        <v>308</v>
      </c>
      <c r="E120" s="121"/>
      <c r="F120" s="7">
        <v>1239</v>
      </c>
      <c r="G120" s="98"/>
      <c r="H120" s="253"/>
      <c r="I120" s="7">
        <f>F120-G120-H120</f>
        <v>1239</v>
      </c>
      <c r="J120" s="7"/>
      <c r="K120" s="7"/>
      <c r="L120" s="63">
        <f>SUM(M120:P120)</f>
        <v>1239</v>
      </c>
      <c r="M120" s="7"/>
      <c r="N120" s="7"/>
      <c r="O120" s="7"/>
      <c r="P120" s="7">
        <v>1239</v>
      </c>
      <c r="Q120" s="63">
        <f t="shared" si="50"/>
        <v>1239</v>
      </c>
      <c r="R120" s="7"/>
      <c r="S120" s="7"/>
      <c r="T120" s="7"/>
      <c r="U120" s="7">
        <v>1239</v>
      </c>
      <c r="V120" s="64">
        <f t="shared" si="51"/>
        <v>1239</v>
      </c>
      <c r="W120" s="7"/>
      <c r="X120" s="7"/>
      <c r="Y120" s="7"/>
      <c r="Z120" s="7">
        <v>1239</v>
      </c>
      <c r="AA120" s="7">
        <f>U120-P120</f>
        <v>0</v>
      </c>
      <c r="AB120" s="7">
        <f>P120-Z120</f>
        <v>0</v>
      </c>
      <c r="AC120" s="205" t="s">
        <v>343</v>
      </c>
    </row>
    <row r="121" spans="1:32" ht="101.25" customHeight="1" x14ac:dyDescent="0.25">
      <c r="A121" s="345" t="s">
        <v>227</v>
      </c>
      <c r="B121" s="346"/>
      <c r="C121" s="12">
        <v>310</v>
      </c>
      <c r="D121" s="51"/>
      <c r="E121" s="200"/>
      <c r="F121" s="52"/>
      <c r="G121" s="99"/>
      <c r="H121" s="264"/>
      <c r="I121" s="90"/>
      <c r="J121" s="53"/>
      <c r="K121" s="53"/>
      <c r="L121" s="54">
        <f>SUM(M121:P121)</f>
        <v>2433493.9700000212</v>
      </c>
      <c r="M121" s="159">
        <f>82216230.19-M8-M28-M43-M58-M73-M89-M106</f>
        <v>712066.32999999449</v>
      </c>
      <c r="N121" s="159">
        <f>198753355.68-N8-N28-N43-N58-N73-N89-N106</f>
        <v>1721427.6400000267</v>
      </c>
      <c r="O121" s="159">
        <f>23635125.11-O8-O28-O43-O58-O73-O89-O106</f>
        <v>0</v>
      </c>
      <c r="P121" s="159">
        <f>238961617.04-P8-P28-P43-P58-P73-P89-P106</f>
        <v>0</v>
      </c>
      <c r="Q121" s="54"/>
      <c r="R121" s="53"/>
      <c r="S121" s="53"/>
      <c r="T121" s="53"/>
      <c r="U121" s="53"/>
      <c r="V121" s="54"/>
      <c r="W121" s="53"/>
      <c r="X121" s="53"/>
      <c r="Y121" s="53"/>
      <c r="Z121" s="53"/>
      <c r="AA121" s="159">
        <f>0-O121</f>
        <v>0</v>
      </c>
      <c r="AB121" s="53"/>
    </row>
    <row r="122" spans="1:32" ht="42.75" customHeight="1" x14ac:dyDescent="0.25">
      <c r="A122" s="345" t="s">
        <v>237</v>
      </c>
      <c r="B122" s="346"/>
      <c r="C122" s="12">
        <v>226</v>
      </c>
      <c r="D122" s="51"/>
      <c r="E122" s="200"/>
      <c r="F122" s="52"/>
      <c r="G122" s="99"/>
      <c r="H122" s="264"/>
      <c r="I122" s="90"/>
      <c r="J122" s="53"/>
      <c r="K122" s="53"/>
      <c r="L122" s="54">
        <f>SUM(M122:P122)</f>
        <v>2405787.9399999995</v>
      </c>
      <c r="M122" s="159">
        <v>0</v>
      </c>
      <c r="N122" s="159">
        <v>0</v>
      </c>
      <c r="O122" s="159">
        <v>0</v>
      </c>
      <c r="P122" s="159">
        <f>18519035.46-SUM(P9:P26,P29:P40,P45:P56,P59:P71,P74:P86,P91:P103,P108:P120)</f>
        <v>2405787.9399999995</v>
      </c>
      <c r="Q122" s="54"/>
      <c r="R122" s="53"/>
      <c r="S122" s="53"/>
      <c r="T122" s="53"/>
      <c r="U122" s="55"/>
      <c r="V122" s="54"/>
      <c r="W122" s="53"/>
      <c r="X122" s="53"/>
      <c r="Y122" s="53"/>
      <c r="Z122" s="53"/>
      <c r="AA122" s="159">
        <f>P122</f>
        <v>2405787.9399999995</v>
      </c>
      <c r="AB122" s="53"/>
    </row>
    <row r="123" spans="1:32" ht="42.75" customHeight="1" x14ac:dyDescent="0.25">
      <c r="A123" s="337" t="s">
        <v>357</v>
      </c>
      <c r="B123" s="338"/>
      <c r="C123" s="12"/>
      <c r="D123" s="51"/>
      <c r="E123" s="200"/>
      <c r="F123" s="52"/>
      <c r="G123" s="99"/>
      <c r="H123" s="264"/>
      <c r="I123" s="90"/>
      <c r="J123" s="53"/>
      <c r="K123" s="53"/>
      <c r="L123" s="227">
        <f>SUM(M123:P123)</f>
        <v>559679575.54000008</v>
      </c>
      <c r="M123" s="228">
        <f>M125+M126+M121</f>
        <v>82216230.189999998</v>
      </c>
      <c r="N123" s="228">
        <f>N125+N126+N121</f>
        <v>198753355.67999998</v>
      </c>
      <c r="O123" s="228">
        <f>O125+O126+O121</f>
        <v>23635125.109999999</v>
      </c>
      <c r="P123" s="228">
        <f>P125+P126+P121</f>
        <v>255074864.56000003</v>
      </c>
      <c r="Q123" s="54"/>
      <c r="R123" s="53"/>
      <c r="S123" s="53"/>
      <c r="T123" s="53"/>
      <c r="U123" s="55"/>
      <c r="V123" s="54"/>
      <c r="W123" s="53"/>
      <c r="X123" s="53"/>
      <c r="Y123" s="53"/>
      <c r="Z123" s="53"/>
      <c r="AA123" s="159"/>
      <c r="AB123" s="53"/>
    </row>
    <row r="124" spans="1:32" s="20" customFormat="1" ht="42.75" customHeight="1" x14ac:dyDescent="0.25">
      <c r="A124" s="347" t="s">
        <v>226</v>
      </c>
      <c r="B124" s="348"/>
      <c r="C124" s="18"/>
      <c r="D124" s="18"/>
      <c r="E124" s="201"/>
      <c r="F124" s="19">
        <f>F7+F27+F41+F57+F72+F87+F104</f>
        <v>660501219.69999981</v>
      </c>
      <c r="G124" s="237">
        <f t="shared" ref="G124:AB124" si="53">G7+G27+G41+G57+G72+G87+G104</f>
        <v>1656913.57</v>
      </c>
      <c r="H124" s="265">
        <f t="shared" si="53"/>
        <v>80881256.609999999</v>
      </c>
      <c r="I124" s="92">
        <f t="shared" si="53"/>
        <v>577963049.51999998</v>
      </c>
      <c r="J124" s="19">
        <f t="shared" si="53"/>
        <v>11162.53</v>
      </c>
      <c r="K124" s="19"/>
      <c r="L124" s="42">
        <f t="shared" si="53"/>
        <v>343088587.81999999</v>
      </c>
      <c r="M124" s="19">
        <f t="shared" si="53"/>
        <v>85172514.390000001</v>
      </c>
      <c r="N124" s="19">
        <f t="shared" si="53"/>
        <v>198639094.09999999</v>
      </c>
      <c r="O124" s="19">
        <f t="shared" si="53"/>
        <v>24082761.520000003</v>
      </c>
      <c r="P124" s="19">
        <f t="shared" si="53"/>
        <v>256274735.31999999</v>
      </c>
      <c r="Q124" s="42">
        <f t="shared" si="53"/>
        <v>577963049.51999998</v>
      </c>
      <c r="R124" s="19">
        <f t="shared" si="53"/>
        <v>85172514.390000001</v>
      </c>
      <c r="S124" s="19">
        <f t="shared" si="53"/>
        <v>198639094.09999999</v>
      </c>
      <c r="T124" s="19">
        <f t="shared" si="53"/>
        <v>24082761.52</v>
      </c>
      <c r="U124" s="19">
        <f t="shared" si="53"/>
        <v>270068679.50999999</v>
      </c>
      <c r="V124" s="42">
        <f>V7+V27+V41+V57+V72+V87+V104</f>
        <v>269397134.38</v>
      </c>
      <c r="W124" s="19">
        <f t="shared" si="53"/>
        <v>59711738.090000011</v>
      </c>
      <c r="X124" s="19">
        <f t="shared" si="53"/>
        <v>144355724.03999999</v>
      </c>
      <c r="Y124" s="19">
        <f t="shared" si="53"/>
        <v>17315134.079999998</v>
      </c>
      <c r="Z124" s="19">
        <f t="shared" si="53"/>
        <v>48014538.170000002</v>
      </c>
      <c r="AA124" s="19">
        <f t="shared" si="53"/>
        <v>1284524.3700000001</v>
      </c>
      <c r="AB124" s="19">
        <f t="shared" si="53"/>
        <v>244155917.08000001</v>
      </c>
      <c r="AC124" s="208">
        <f>O124+P124-Y124-Z124+AA124</f>
        <v>216312348.95999998</v>
      </c>
      <c r="AD124" s="49">
        <f>AB124-AC124</f>
        <v>27843568.120000035</v>
      </c>
    </row>
    <row r="125" spans="1:32" s="20" customFormat="1" ht="16.5" customHeight="1" x14ac:dyDescent="0.25">
      <c r="A125" s="349" t="s">
        <v>193</v>
      </c>
      <c r="B125" s="350"/>
      <c r="C125" s="18">
        <v>310</v>
      </c>
      <c r="D125" s="18"/>
      <c r="E125" s="18"/>
      <c r="F125" s="217">
        <f>F8+F28+F43+F58+F73+F89+F106</f>
        <v>607200556.86000001</v>
      </c>
      <c r="G125" s="110">
        <f t="shared" ref="G125:AB125" si="54">G8+G28+G43+G58+G73+G89+G106</f>
        <v>0</v>
      </c>
      <c r="H125" s="266">
        <f t="shared" si="54"/>
        <v>53558302.990000002</v>
      </c>
      <c r="I125" s="92">
        <f t="shared" si="54"/>
        <v>553642253.87</v>
      </c>
      <c r="J125" s="217">
        <f t="shared" si="54"/>
        <v>10995.71</v>
      </c>
      <c r="K125" s="217"/>
      <c r="L125" s="219">
        <f t="shared" si="54"/>
        <v>320052316.54000002</v>
      </c>
      <c r="M125" s="217">
        <f t="shared" si="54"/>
        <v>81504163.859999999</v>
      </c>
      <c r="N125" s="217">
        <f t="shared" si="54"/>
        <v>197031928.03999996</v>
      </c>
      <c r="O125" s="217">
        <f t="shared" si="54"/>
        <v>23635125.109999999</v>
      </c>
      <c r="P125" s="217">
        <f t="shared" si="54"/>
        <v>238961617.04000002</v>
      </c>
      <c r="Q125" s="219">
        <f t="shared" si="54"/>
        <v>553642253.86999989</v>
      </c>
      <c r="R125" s="217">
        <f t="shared" si="54"/>
        <v>81504163.859999999</v>
      </c>
      <c r="S125" s="217">
        <f t="shared" si="54"/>
        <v>197031928.03999996</v>
      </c>
      <c r="T125" s="217">
        <f t="shared" si="54"/>
        <v>23635125.109999999</v>
      </c>
      <c r="U125" s="217">
        <f t="shared" si="54"/>
        <v>251471036.86000001</v>
      </c>
      <c r="V125" s="219">
        <f>V8+V28+V43+V58+V73+V89+V106</f>
        <v>265808103.26000002</v>
      </c>
      <c r="W125" s="217">
        <f t="shared" si="54"/>
        <v>59711738.090000011</v>
      </c>
      <c r="X125" s="217">
        <f t="shared" si="54"/>
        <v>144355724.03999999</v>
      </c>
      <c r="Y125" s="217">
        <f t="shared" si="54"/>
        <v>17315134.079999998</v>
      </c>
      <c r="Z125" s="217">
        <f t="shared" si="54"/>
        <v>44425507.049999997</v>
      </c>
      <c r="AA125" s="217">
        <f t="shared" si="54"/>
        <v>0</v>
      </c>
      <c r="AB125" s="217">
        <f t="shared" si="54"/>
        <v>229298258.13999999</v>
      </c>
      <c r="AC125" s="208">
        <f>O125+P125-Y125-Z125+AA125</f>
        <v>200856101.02000004</v>
      </c>
      <c r="AD125" s="49"/>
    </row>
    <row r="126" spans="1:32" s="20" customFormat="1" ht="16.5" customHeight="1" x14ac:dyDescent="0.25">
      <c r="A126" s="349" t="s">
        <v>193</v>
      </c>
      <c r="B126" s="350"/>
      <c r="C126" s="18">
        <v>226</v>
      </c>
      <c r="D126" s="73"/>
      <c r="E126" s="18"/>
      <c r="F126" s="19">
        <f>SUM(F9:F26,F29:F40,F45:F56,F59:F71,F74:F86,F91:F103,F108:F120)</f>
        <v>45093114.710000001</v>
      </c>
      <c r="G126" s="237">
        <f>SUM(G9:G26,G29:G40,G45:G56,G59:G71,G74:G86,G91:G103,G108:G120)</f>
        <v>1656913.57</v>
      </c>
      <c r="H126" s="265">
        <f>SUM(H9:H26,H29:H40,H45:H56,H59:H71,H74:H86,H91:H103,H108:H120)</f>
        <v>27322953.620000005</v>
      </c>
      <c r="I126" s="92">
        <f>SUM(I9:I26,I29:I40,I45:I56,I59:I71,I74:I86,I91:I103,I108:I120)</f>
        <v>16113247.520000001</v>
      </c>
      <c r="J126" s="217">
        <f>SUM(J9:J26,J29:J40,J45:J56,J59:J71,J74:J86,J91:J103,J108:J120)</f>
        <v>0</v>
      </c>
      <c r="K126" s="19"/>
      <c r="L126" s="42">
        <f t="shared" ref="L126:AB126" si="55">SUM(L9:L26,L29:L40,L45:L56,L59:L71,L74:L86,L91:L103,L108:L120)</f>
        <v>16113247.520000001</v>
      </c>
      <c r="M126" s="19">
        <f t="shared" si="55"/>
        <v>0</v>
      </c>
      <c r="N126" s="19">
        <f t="shared" si="55"/>
        <v>0</v>
      </c>
      <c r="O126" s="19">
        <f t="shared" si="55"/>
        <v>0</v>
      </c>
      <c r="P126" s="19">
        <f>SUM(P9:P26,P29:P40,P45:P56,P59:P71,P74:P86,P91:P103,P108:P120)</f>
        <v>16113247.520000001</v>
      </c>
      <c r="Q126" s="42">
        <f t="shared" si="55"/>
        <v>16113247.520000001</v>
      </c>
      <c r="R126" s="19">
        <f t="shared" si="55"/>
        <v>0</v>
      </c>
      <c r="S126" s="19">
        <f t="shared" si="55"/>
        <v>0</v>
      </c>
      <c r="T126" s="19">
        <f t="shared" si="55"/>
        <v>0</v>
      </c>
      <c r="U126" s="19">
        <f t="shared" si="55"/>
        <v>16113247.520000001</v>
      </c>
      <c r="V126" s="42">
        <f>SUM(V9:V26,V29:V40,V45:V56,V59:V71,V74:V86,V91:V103,V108:V120)</f>
        <v>3589031.1199999996</v>
      </c>
      <c r="W126" s="19">
        <f t="shared" si="55"/>
        <v>0</v>
      </c>
      <c r="X126" s="19">
        <f t="shared" si="55"/>
        <v>0</v>
      </c>
      <c r="Y126" s="19">
        <f t="shared" si="55"/>
        <v>0</v>
      </c>
      <c r="Z126" s="19">
        <f>SUM(Z9:Z26,Z29:Z40,Z45:Z56,Z59:Z71,Z74:Z86,Z91:Z103,Z108:Z120)</f>
        <v>3589031.1199999996</v>
      </c>
      <c r="AA126" s="19">
        <f t="shared" si="55"/>
        <v>0</v>
      </c>
      <c r="AB126" s="19">
        <f t="shared" si="55"/>
        <v>11925627.400000002</v>
      </c>
      <c r="AC126" s="208">
        <f>O126+P126-Y126-Z126+AA126</f>
        <v>12524216.400000002</v>
      </c>
      <c r="AD126" s="49"/>
      <c r="AE126" s="50"/>
      <c r="AF126" s="50"/>
    </row>
    <row r="127" spans="1:32" s="20" customFormat="1" ht="16.5" customHeight="1" x14ac:dyDescent="0.25">
      <c r="A127" s="349" t="s">
        <v>194</v>
      </c>
      <c r="B127" s="350"/>
      <c r="C127" s="18">
        <v>310</v>
      </c>
      <c r="D127" s="73"/>
      <c r="E127" s="18"/>
      <c r="F127" s="19">
        <f>F44+F90+F107</f>
        <v>8207548.1300000008</v>
      </c>
      <c r="G127" s="110">
        <f t="shared" ref="G127:AB127" si="56">G44+G90+G107</f>
        <v>0</v>
      </c>
      <c r="H127" s="266">
        <f t="shared" si="56"/>
        <v>0</v>
      </c>
      <c r="I127" s="92">
        <f t="shared" si="56"/>
        <v>8207548.1300000008</v>
      </c>
      <c r="J127" s="217">
        <f t="shared" si="56"/>
        <v>166.82</v>
      </c>
      <c r="K127" s="19"/>
      <c r="L127" s="42">
        <f t="shared" si="56"/>
        <v>6923023.7599999998</v>
      </c>
      <c r="M127" s="19">
        <f t="shared" si="56"/>
        <v>3668350.53</v>
      </c>
      <c r="N127" s="19">
        <f t="shared" si="56"/>
        <v>1607166.0599999998</v>
      </c>
      <c r="O127" s="19">
        <f t="shared" si="56"/>
        <v>447636.41</v>
      </c>
      <c r="P127" s="19">
        <f t="shared" si="56"/>
        <v>1199870.76</v>
      </c>
      <c r="Q127" s="42">
        <f t="shared" si="56"/>
        <v>8207548.1299999999</v>
      </c>
      <c r="R127" s="19">
        <f t="shared" si="56"/>
        <v>3668350.53</v>
      </c>
      <c r="S127" s="19">
        <f t="shared" si="56"/>
        <v>1607166.0599999998</v>
      </c>
      <c r="T127" s="19">
        <f t="shared" si="56"/>
        <v>447636.41</v>
      </c>
      <c r="U127" s="19">
        <f t="shared" si="56"/>
        <v>2484395.13</v>
      </c>
      <c r="V127" s="42">
        <f t="shared" si="56"/>
        <v>0</v>
      </c>
      <c r="W127" s="19">
        <f t="shared" si="56"/>
        <v>0</v>
      </c>
      <c r="X127" s="19">
        <f t="shared" si="56"/>
        <v>0</v>
      </c>
      <c r="Y127" s="19">
        <f t="shared" si="56"/>
        <v>0</v>
      </c>
      <c r="Z127" s="19">
        <f t="shared" si="56"/>
        <v>0</v>
      </c>
      <c r="AA127" s="19">
        <f t="shared" si="56"/>
        <v>1284524.3700000001</v>
      </c>
      <c r="AB127" s="19">
        <f t="shared" si="56"/>
        <v>2932031.54</v>
      </c>
      <c r="AC127" s="208">
        <f>O127+P127-Y127-Z127+AA127</f>
        <v>2932031.54</v>
      </c>
      <c r="AD127" s="49"/>
    </row>
    <row r="128" spans="1:32" s="10" customFormat="1" ht="18.75" customHeight="1" x14ac:dyDescent="0.25">
      <c r="A128" s="316" t="s">
        <v>18</v>
      </c>
      <c r="B128" s="317"/>
      <c r="C128" s="317"/>
      <c r="D128" s="24"/>
      <c r="E128" s="24"/>
      <c r="F128" s="24"/>
      <c r="G128" s="106"/>
      <c r="H128" s="257"/>
      <c r="I128" s="88"/>
      <c r="J128" s="24"/>
      <c r="K128" s="24"/>
      <c r="L128" s="43"/>
      <c r="M128" s="24"/>
      <c r="N128" s="24"/>
      <c r="O128" s="24"/>
      <c r="P128" s="24"/>
      <c r="Q128" s="43"/>
      <c r="R128" s="24"/>
      <c r="S128" s="24"/>
      <c r="T128" s="24"/>
      <c r="U128" s="24"/>
      <c r="V128" s="43"/>
      <c r="W128" s="24"/>
      <c r="X128" s="24"/>
      <c r="Y128" s="24"/>
      <c r="Z128" s="24"/>
      <c r="AA128" s="24"/>
      <c r="AB128" s="72"/>
      <c r="AC128" s="206"/>
    </row>
    <row r="129" spans="1:29" s="14" customFormat="1" x14ac:dyDescent="0.25">
      <c r="A129" s="11" t="s">
        <v>34</v>
      </c>
      <c r="B129" s="16" t="s">
        <v>7</v>
      </c>
      <c r="C129" s="16"/>
      <c r="D129" s="74">
        <f>SUM(F130:F142)</f>
        <v>61282915.380000003</v>
      </c>
      <c r="E129" s="74"/>
      <c r="F129" s="13">
        <f>SUM(F130:F143)</f>
        <v>61284154.380000003</v>
      </c>
      <c r="G129" s="102">
        <f>SUM(G130:G143)</f>
        <v>0</v>
      </c>
      <c r="H129" s="258">
        <f>SUM(H130:H143)</f>
        <v>2095750.42</v>
      </c>
      <c r="I129" s="93">
        <f>SUM(I130:I143)</f>
        <v>59188403.960000008</v>
      </c>
      <c r="J129" s="128">
        <v>993.41</v>
      </c>
      <c r="K129" s="13">
        <f>F129/J129</f>
        <v>61690.696067082077</v>
      </c>
      <c r="L129" s="40">
        <f t="shared" ref="L129:AA129" si="57">SUM(L130:L143)</f>
        <v>37006404.660000004</v>
      </c>
      <c r="M129" s="13">
        <f t="shared" si="57"/>
        <v>19156430.629999999</v>
      </c>
      <c r="N129" s="13">
        <f t="shared" si="57"/>
        <v>8964305.6500000004</v>
      </c>
      <c r="O129" s="13">
        <f t="shared" si="57"/>
        <v>4101598.73</v>
      </c>
      <c r="P129" s="13">
        <f>SUM(P130:P143)</f>
        <v>4784069.6499999994</v>
      </c>
      <c r="Q129" s="40">
        <f t="shared" si="57"/>
        <v>59188403.960000008</v>
      </c>
      <c r="R129" s="13">
        <f t="shared" si="57"/>
        <v>19156430.629999999</v>
      </c>
      <c r="S129" s="13">
        <f t="shared" si="57"/>
        <v>8964305.6500000004</v>
      </c>
      <c r="T129" s="13">
        <f t="shared" si="57"/>
        <v>4101598.73</v>
      </c>
      <c r="U129" s="13">
        <f t="shared" si="57"/>
        <v>26966068.949999999</v>
      </c>
      <c r="V129" s="40">
        <f t="shared" si="57"/>
        <v>20938886.66</v>
      </c>
      <c r="W129" s="13">
        <f t="shared" si="57"/>
        <v>10628426.379999999</v>
      </c>
      <c r="X129" s="13">
        <f t="shared" si="57"/>
        <v>4973602.04</v>
      </c>
      <c r="Y129" s="13">
        <f t="shared" si="57"/>
        <v>2275660.88</v>
      </c>
      <c r="Z129" s="13">
        <f t="shared" si="57"/>
        <v>3061197.3600000003</v>
      </c>
      <c r="AA129" s="40">
        <f t="shared" si="57"/>
        <v>22181999.300000001</v>
      </c>
      <c r="AB129" s="40">
        <f>SUM(AB130:AB143)</f>
        <v>25730809.440000005</v>
      </c>
      <c r="AC129" s="207"/>
    </row>
    <row r="130" spans="1:29" ht="144" x14ac:dyDescent="0.25">
      <c r="A130" s="218" t="s">
        <v>43</v>
      </c>
      <c r="B130" s="1" t="s">
        <v>32</v>
      </c>
      <c r="C130" s="3">
        <v>310</v>
      </c>
      <c r="D130" s="25" t="s">
        <v>351</v>
      </c>
      <c r="E130" s="25"/>
      <c r="F130" s="2">
        <v>54404334.310000002</v>
      </c>
      <c r="G130" s="98"/>
      <c r="H130" s="253"/>
      <c r="I130" s="7">
        <f t="shared" ref="I130:I139" si="58">F130-G130-H130</f>
        <v>54404334.310000002</v>
      </c>
      <c r="J130" s="129">
        <v>993.41</v>
      </c>
      <c r="K130" s="36">
        <f>F130/J130</f>
        <v>54765.237223301563</v>
      </c>
      <c r="L130" s="41">
        <f>SUM(M130:P130)</f>
        <v>32222335.010000002</v>
      </c>
      <c r="M130" s="2">
        <f>5746929.19+13409501.44</f>
        <v>19156430.629999999</v>
      </c>
      <c r="N130" s="36">
        <v>8964305.6500000004</v>
      </c>
      <c r="O130" s="129">
        <v>4101598.73</v>
      </c>
      <c r="P130" s="36">
        <v>0</v>
      </c>
      <c r="Q130" s="41">
        <f>SUM(R130:U130)</f>
        <v>54404334.310000002</v>
      </c>
      <c r="R130" s="36">
        <v>19156430.629999999</v>
      </c>
      <c r="S130" s="36">
        <v>8964305.6500000004</v>
      </c>
      <c r="T130" s="36">
        <v>4101598.73</v>
      </c>
      <c r="U130" s="36">
        <f>3967591.3+18214408</f>
        <v>22181999.300000001</v>
      </c>
      <c r="V130" s="46">
        <f>SUM(W130:Z130)</f>
        <v>17877689.299999997</v>
      </c>
      <c r="W130" s="36">
        <f>6668281.7+3041050.81+919093.87</f>
        <v>10628426.379999999</v>
      </c>
      <c r="X130" s="36">
        <f>3120441.2+1423068.28+430092.56</f>
        <v>4973602.04</v>
      </c>
      <c r="Y130" s="36">
        <f>1427751.13+651121.83+196787.92</f>
        <v>2275660.88</v>
      </c>
      <c r="Z130" s="36">
        <v>0</v>
      </c>
      <c r="AA130" s="36">
        <f>T130-O130+U130</f>
        <v>22181999.300000001</v>
      </c>
      <c r="AB130" s="36">
        <f>AA130+O130-Y130</f>
        <v>24007937.150000002</v>
      </c>
      <c r="AC130" s="208">
        <f>O130+P130-Y130-Z130+AA130</f>
        <v>24007937.150000002</v>
      </c>
    </row>
    <row r="131" spans="1:29" s="8" customFormat="1" ht="24" x14ac:dyDescent="0.25">
      <c r="A131" s="5" t="s">
        <v>44</v>
      </c>
      <c r="B131" s="1" t="s">
        <v>8</v>
      </c>
      <c r="C131" s="1">
        <v>226</v>
      </c>
      <c r="D131" s="25" t="s">
        <v>169</v>
      </c>
      <c r="E131" s="25"/>
      <c r="F131" s="2">
        <v>10000</v>
      </c>
      <c r="G131" s="98"/>
      <c r="H131" s="253">
        <v>10000</v>
      </c>
      <c r="I131" s="7">
        <f t="shared" si="58"/>
        <v>0</v>
      </c>
      <c r="J131" s="2"/>
      <c r="K131" s="2"/>
      <c r="L131" s="41">
        <f t="shared" ref="L131:L143" si="59">SUM(M131:P131)</f>
        <v>0</v>
      </c>
      <c r="M131" s="2"/>
      <c r="N131" s="2"/>
      <c r="O131" s="2"/>
      <c r="P131" s="2"/>
      <c r="Q131" s="41">
        <f t="shared" ref="Q131:Q143" si="60">SUM(R131:U131)</f>
        <v>0</v>
      </c>
      <c r="R131" s="2"/>
      <c r="S131" s="2"/>
      <c r="T131" s="2"/>
      <c r="U131" s="2"/>
      <c r="V131" s="77">
        <f t="shared" ref="V131:V143" si="61">SUM(W131:Z131)</f>
        <v>0</v>
      </c>
      <c r="W131" s="2"/>
      <c r="X131" s="2"/>
      <c r="Y131" s="2"/>
      <c r="Z131" s="2"/>
      <c r="AA131" s="2"/>
      <c r="AB131" s="2"/>
      <c r="AC131" s="205"/>
    </row>
    <row r="132" spans="1:29" s="8" customFormat="1" ht="24" x14ac:dyDescent="0.25">
      <c r="A132" s="5" t="s">
        <v>45</v>
      </c>
      <c r="B132" s="131" t="s">
        <v>1</v>
      </c>
      <c r="C132" s="1">
        <v>226</v>
      </c>
      <c r="D132" s="25" t="s">
        <v>166</v>
      </c>
      <c r="E132" s="25"/>
      <c r="F132" s="2">
        <v>310000</v>
      </c>
      <c r="G132" s="98"/>
      <c r="H132" s="253">
        <v>310000</v>
      </c>
      <c r="I132" s="7">
        <f t="shared" si="58"/>
        <v>0</v>
      </c>
      <c r="J132" s="2"/>
      <c r="K132" s="2"/>
      <c r="L132" s="41">
        <f t="shared" si="59"/>
        <v>0</v>
      </c>
      <c r="M132" s="2"/>
      <c r="N132" s="2"/>
      <c r="O132" s="2"/>
      <c r="P132" s="2"/>
      <c r="Q132" s="41">
        <f t="shared" si="60"/>
        <v>0</v>
      </c>
      <c r="R132" s="2"/>
      <c r="S132" s="2"/>
      <c r="T132" s="2"/>
      <c r="U132" s="2"/>
      <c r="V132" s="77">
        <f t="shared" si="61"/>
        <v>0</v>
      </c>
      <c r="W132" s="2"/>
      <c r="X132" s="2"/>
      <c r="Y132" s="2"/>
      <c r="Z132" s="2"/>
      <c r="AA132" s="2"/>
      <c r="AB132" s="2"/>
      <c r="AC132" s="205"/>
    </row>
    <row r="133" spans="1:29" s="8" customFormat="1" ht="36" x14ac:dyDescent="0.25">
      <c r="A133" s="5" t="s">
        <v>46</v>
      </c>
      <c r="B133" s="1" t="s">
        <v>11</v>
      </c>
      <c r="C133" s="1">
        <v>226</v>
      </c>
      <c r="D133" s="25" t="s">
        <v>204</v>
      </c>
      <c r="E133" s="25"/>
      <c r="F133" s="2">
        <v>1400321.21</v>
      </c>
      <c r="G133" s="98"/>
      <c r="H133" s="253">
        <v>1400321.21</v>
      </c>
      <c r="I133" s="7">
        <f t="shared" si="58"/>
        <v>0</v>
      </c>
      <c r="J133" s="2"/>
      <c r="K133" s="2"/>
      <c r="L133" s="41">
        <f t="shared" si="59"/>
        <v>0</v>
      </c>
      <c r="M133" s="2"/>
      <c r="N133" s="2"/>
      <c r="O133" s="2"/>
      <c r="P133" s="2"/>
      <c r="Q133" s="41">
        <f t="shared" si="60"/>
        <v>0</v>
      </c>
      <c r="R133" s="2"/>
      <c r="S133" s="2"/>
      <c r="T133" s="2"/>
      <c r="U133" s="2"/>
      <c r="V133" s="77">
        <f t="shared" si="61"/>
        <v>0</v>
      </c>
      <c r="W133" s="2"/>
      <c r="X133" s="2"/>
      <c r="Y133" s="2"/>
      <c r="Z133" s="2"/>
      <c r="AA133" s="2"/>
      <c r="AB133" s="2"/>
      <c r="AC133" s="205"/>
    </row>
    <row r="134" spans="1:29" s="65" customFormat="1" ht="24" x14ac:dyDescent="0.25">
      <c r="A134" s="60" t="s">
        <v>47</v>
      </c>
      <c r="B134" s="61" t="s">
        <v>20</v>
      </c>
      <c r="C134" s="61">
        <v>226</v>
      </c>
      <c r="D134" s="66" t="s">
        <v>206</v>
      </c>
      <c r="E134" s="66" t="s">
        <v>336</v>
      </c>
      <c r="F134" s="7">
        <v>92210.74</v>
      </c>
      <c r="G134" s="98"/>
      <c r="H134" s="253"/>
      <c r="I134" s="7">
        <f t="shared" si="58"/>
        <v>92210.74</v>
      </c>
      <c r="J134" s="7"/>
      <c r="K134" s="7"/>
      <c r="L134" s="63">
        <f t="shared" si="59"/>
        <v>92210.74</v>
      </c>
      <c r="M134" s="7"/>
      <c r="N134" s="7"/>
      <c r="O134" s="7"/>
      <c r="P134" s="7">
        <v>92210.74</v>
      </c>
      <c r="Q134" s="63">
        <f t="shared" si="60"/>
        <v>92210.74</v>
      </c>
      <c r="R134" s="7"/>
      <c r="S134" s="7"/>
      <c r="T134" s="7"/>
      <c r="U134" s="7">
        <v>92210.74</v>
      </c>
      <c r="V134" s="64">
        <f t="shared" si="61"/>
        <v>27680.870000000003</v>
      </c>
      <c r="W134" s="7"/>
      <c r="X134" s="7"/>
      <c r="Y134" s="7"/>
      <c r="Z134" s="7">
        <f>2826.68+8669.9+16184.29</f>
        <v>27680.870000000003</v>
      </c>
      <c r="AA134" s="7">
        <f t="shared" ref="AA134:AA139" si="62">U134-P134</f>
        <v>0</v>
      </c>
      <c r="AB134" s="7">
        <f>P134-Z134</f>
        <v>64529.87</v>
      </c>
      <c r="AC134" s="205" t="s">
        <v>343</v>
      </c>
    </row>
    <row r="135" spans="1:29" ht="36" x14ac:dyDescent="0.25">
      <c r="A135" s="282" t="s">
        <v>48</v>
      </c>
      <c r="B135" s="3" t="s">
        <v>12</v>
      </c>
      <c r="C135" s="3">
        <v>226</v>
      </c>
      <c r="D135" s="25" t="s">
        <v>153</v>
      </c>
      <c r="E135" s="203" t="s">
        <v>339</v>
      </c>
      <c r="F135" s="2">
        <v>348883.14</v>
      </c>
      <c r="G135" s="98"/>
      <c r="H135" s="253">
        <v>104664.94</v>
      </c>
      <c r="I135" s="7">
        <f t="shared" si="58"/>
        <v>244218.2</v>
      </c>
      <c r="J135" s="2"/>
      <c r="K135" s="2"/>
      <c r="L135" s="41">
        <f t="shared" si="59"/>
        <v>244218.2</v>
      </c>
      <c r="M135" s="2"/>
      <c r="N135" s="2"/>
      <c r="O135" s="2"/>
      <c r="P135" s="2">
        <v>244218.2</v>
      </c>
      <c r="Q135" s="41">
        <f t="shared" si="60"/>
        <v>244218.2</v>
      </c>
      <c r="R135" s="2"/>
      <c r="S135" s="2"/>
      <c r="T135" s="2"/>
      <c r="U135" s="2">
        <v>244218.2</v>
      </c>
      <c r="V135" s="46">
        <f t="shared" si="61"/>
        <v>0</v>
      </c>
      <c r="W135" s="2"/>
      <c r="X135" s="2"/>
      <c r="Y135" s="2"/>
      <c r="Z135" s="2"/>
      <c r="AA135" s="2">
        <f t="shared" si="62"/>
        <v>0</v>
      </c>
      <c r="AB135" s="7">
        <f t="shared" ref="AB135:AB143" si="63">P135-Z135</f>
        <v>244218.2</v>
      </c>
      <c r="AC135" s="205" t="s">
        <v>343</v>
      </c>
    </row>
    <row r="136" spans="1:29" s="65" customFormat="1" ht="24" x14ac:dyDescent="0.25">
      <c r="A136" s="60" t="s">
        <v>49</v>
      </c>
      <c r="B136" s="61" t="s">
        <v>13</v>
      </c>
      <c r="C136" s="61">
        <v>226</v>
      </c>
      <c r="D136" s="62" t="s">
        <v>159</v>
      </c>
      <c r="E136" s="62"/>
      <c r="F136" s="7">
        <v>692638.78</v>
      </c>
      <c r="G136" s="98"/>
      <c r="H136" s="253"/>
      <c r="I136" s="7">
        <f t="shared" si="58"/>
        <v>692638.78</v>
      </c>
      <c r="J136" s="7"/>
      <c r="K136" s="7"/>
      <c r="L136" s="63">
        <f t="shared" si="59"/>
        <v>692638.78</v>
      </c>
      <c r="M136" s="7"/>
      <c r="N136" s="7"/>
      <c r="O136" s="7"/>
      <c r="P136" s="7">
        <v>692638.78</v>
      </c>
      <c r="Q136" s="63">
        <f t="shared" si="60"/>
        <v>692638.78</v>
      </c>
      <c r="R136" s="7"/>
      <c r="S136" s="7"/>
      <c r="T136" s="7"/>
      <c r="U136" s="7">
        <v>692638.78</v>
      </c>
      <c r="V136" s="64">
        <f t="shared" si="61"/>
        <v>450215.21</v>
      </c>
      <c r="W136" s="7"/>
      <c r="X136" s="7"/>
      <c r="Y136" s="7"/>
      <c r="Z136" s="7">
        <v>450215.21</v>
      </c>
      <c r="AA136" s="7">
        <f t="shared" si="62"/>
        <v>0</v>
      </c>
      <c r="AB136" s="7">
        <f t="shared" si="63"/>
        <v>242423.57</v>
      </c>
      <c r="AC136" s="205" t="s">
        <v>343</v>
      </c>
    </row>
    <row r="137" spans="1:29" s="65" customFormat="1" ht="24" x14ac:dyDescent="0.25">
      <c r="A137" s="60" t="s">
        <v>50</v>
      </c>
      <c r="B137" s="61" t="s">
        <v>15</v>
      </c>
      <c r="C137" s="61">
        <v>226</v>
      </c>
      <c r="D137" s="62" t="s">
        <v>158</v>
      </c>
      <c r="E137" s="62"/>
      <c r="F137" s="7">
        <v>759625.01</v>
      </c>
      <c r="G137" s="98"/>
      <c r="H137" s="253"/>
      <c r="I137" s="7">
        <f t="shared" si="58"/>
        <v>759625.01</v>
      </c>
      <c r="J137" s="7"/>
      <c r="K137" s="7"/>
      <c r="L137" s="63">
        <f t="shared" si="59"/>
        <v>759625.01</v>
      </c>
      <c r="M137" s="7"/>
      <c r="N137" s="7"/>
      <c r="O137" s="7"/>
      <c r="P137" s="7">
        <v>759625.01</v>
      </c>
      <c r="Q137" s="63">
        <f t="shared" si="60"/>
        <v>759625.01</v>
      </c>
      <c r="R137" s="7"/>
      <c r="S137" s="7"/>
      <c r="T137" s="7"/>
      <c r="U137" s="7">
        <v>759625.01</v>
      </c>
      <c r="V137" s="64">
        <f t="shared" si="61"/>
        <v>493756.26</v>
      </c>
      <c r="W137" s="7"/>
      <c r="X137" s="7"/>
      <c r="Y137" s="7"/>
      <c r="Z137" s="7">
        <v>493756.26</v>
      </c>
      <c r="AA137" s="7">
        <f t="shared" si="62"/>
        <v>0</v>
      </c>
      <c r="AB137" s="7">
        <f t="shared" si="63"/>
        <v>265868.75</v>
      </c>
      <c r="AC137" s="205" t="s">
        <v>343</v>
      </c>
    </row>
    <row r="138" spans="1:29" s="65" customFormat="1" ht="36" x14ac:dyDescent="0.25">
      <c r="A138" s="60" t="s">
        <v>51</v>
      </c>
      <c r="B138" s="61" t="s">
        <v>14</v>
      </c>
      <c r="C138" s="61">
        <v>226</v>
      </c>
      <c r="D138" s="66" t="s">
        <v>163</v>
      </c>
      <c r="E138" s="203" t="s">
        <v>342</v>
      </c>
      <c r="F138" s="7">
        <v>2402088.98</v>
      </c>
      <c r="G138" s="98"/>
      <c r="H138" s="253"/>
      <c r="I138" s="7">
        <f t="shared" si="58"/>
        <v>2402088.98</v>
      </c>
      <c r="J138" s="7"/>
      <c r="K138" s="7"/>
      <c r="L138" s="63">
        <f t="shared" si="59"/>
        <v>2402088.98</v>
      </c>
      <c r="M138" s="7"/>
      <c r="N138" s="7"/>
      <c r="O138" s="7"/>
      <c r="P138" s="7">
        <v>2402088.98</v>
      </c>
      <c r="Q138" s="63">
        <f t="shared" si="60"/>
        <v>2402088.98</v>
      </c>
      <c r="R138" s="7"/>
      <c r="S138" s="7"/>
      <c r="T138" s="7"/>
      <c r="U138" s="7">
        <v>2402088.98</v>
      </c>
      <c r="V138" s="64">
        <f t="shared" si="61"/>
        <v>1561357.84</v>
      </c>
      <c r="W138" s="7"/>
      <c r="X138" s="7"/>
      <c r="Y138" s="7"/>
      <c r="Z138" s="7">
        <v>1561357.84</v>
      </c>
      <c r="AA138" s="7">
        <f t="shared" si="62"/>
        <v>0</v>
      </c>
      <c r="AB138" s="7">
        <f t="shared" si="63"/>
        <v>840731.1399999999</v>
      </c>
      <c r="AC138" s="205" t="s">
        <v>343</v>
      </c>
    </row>
    <row r="139" spans="1:29" s="65" customFormat="1" ht="36.6" customHeight="1" x14ac:dyDescent="0.25">
      <c r="A139" s="60" t="s">
        <v>35</v>
      </c>
      <c r="B139" s="68" t="s">
        <v>24</v>
      </c>
      <c r="C139" s="61">
        <v>226</v>
      </c>
      <c r="D139" s="66" t="s">
        <v>171</v>
      </c>
      <c r="E139" s="66"/>
      <c r="F139" s="254">
        <v>99408</v>
      </c>
      <c r="G139" s="98"/>
      <c r="H139" s="253"/>
      <c r="I139" s="7">
        <f t="shared" si="58"/>
        <v>99408</v>
      </c>
      <c r="J139" s="7"/>
      <c r="K139" s="7"/>
      <c r="L139" s="63">
        <f t="shared" si="59"/>
        <v>99408</v>
      </c>
      <c r="M139" s="7"/>
      <c r="N139" s="7"/>
      <c r="O139" s="7"/>
      <c r="P139" s="226">
        <v>99408</v>
      </c>
      <c r="Q139" s="63">
        <f t="shared" si="60"/>
        <v>99408</v>
      </c>
      <c r="R139" s="7"/>
      <c r="S139" s="7"/>
      <c r="T139" s="7"/>
      <c r="U139" s="7">
        <v>99408</v>
      </c>
      <c r="V139" s="64">
        <f t="shared" si="61"/>
        <v>99408</v>
      </c>
      <c r="W139" s="7"/>
      <c r="X139" s="7"/>
      <c r="Y139" s="7"/>
      <c r="Z139" s="7">
        <v>99408</v>
      </c>
      <c r="AA139" s="7">
        <f t="shared" si="62"/>
        <v>0</v>
      </c>
      <c r="AB139" s="7">
        <f t="shared" si="63"/>
        <v>0</v>
      </c>
      <c r="AC139" s="205" t="s">
        <v>343</v>
      </c>
    </row>
    <row r="140" spans="1:29" ht="24" x14ac:dyDescent="0.25">
      <c r="A140" s="282" t="s">
        <v>118</v>
      </c>
      <c r="B140" s="6" t="s">
        <v>21</v>
      </c>
      <c r="C140" s="3">
        <v>226</v>
      </c>
      <c r="D140" s="25" t="s">
        <v>176</v>
      </c>
      <c r="E140" s="25"/>
      <c r="F140" s="2">
        <v>99396</v>
      </c>
      <c r="G140" s="98"/>
      <c r="H140" s="253">
        <v>99396</v>
      </c>
      <c r="I140" s="7">
        <f>F140-G140-H140</f>
        <v>0</v>
      </c>
      <c r="J140" s="2"/>
      <c r="K140" s="2"/>
      <c r="L140" s="41">
        <f t="shared" si="59"/>
        <v>0</v>
      </c>
      <c r="M140" s="2"/>
      <c r="N140" s="2"/>
      <c r="O140" s="2"/>
      <c r="P140" s="230"/>
      <c r="Q140" s="41">
        <f t="shared" si="60"/>
        <v>0</v>
      </c>
      <c r="R140" s="2"/>
      <c r="S140" s="2"/>
      <c r="T140" s="2"/>
      <c r="U140" s="2"/>
      <c r="V140" s="46">
        <f t="shared" si="61"/>
        <v>0</v>
      </c>
      <c r="W140" s="2"/>
      <c r="X140" s="2"/>
      <c r="Y140" s="2"/>
      <c r="Z140" s="2"/>
      <c r="AA140" s="2"/>
      <c r="AB140" s="7">
        <f t="shared" si="63"/>
        <v>0</v>
      </c>
      <c r="AC140" s="205" t="s">
        <v>343</v>
      </c>
    </row>
    <row r="141" spans="1:29" s="65" customFormat="1" ht="48.75" customHeight="1" x14ac:dyDescent="0.25">
      <c r="A141" s="60" t="s">
        <v>119</v>
      </c>
      <c r="B141" s="61" t="s">
        <v>23</v>
      </c>
      <c r="C141" s="61">
        <v>226</v>
      </c>
      <c r="D141" s="66" t="s">
        <v>156</v>
      </c>
      <c r="E141" s="66"/>
      <c r="F141" s="7">
        <v>571227.57999999996</v>
      </c>
      <c r="G141" s="98"/>
      <c r="H141" s="253">
        <v>171368.27</v>
      </c>
      <c r="I141" s="7">
        <f>F141-G141-H141</f>
        <v>399859.30999999994</v>
      </c>
      <c r="J141" s="7"/>
      <c r="K141" s="7"/>
      <c r="L141" s="63">
        <f t="shared" si="59"/>
        <v>399859.31</v>
      </c>
      <c r="M141" s="7"/>
      <c r="N141" s="7"/>
      <c r="O141" s="7"/>
      <c r="P141" s="226">
        <v>399859.31</v>
      </c>
      <c r="Q141" s="63">
        <f t="shared" si="60"/>
        <v>399859.31</v>
      </c>
      <c r="R141" s="7"/>
      <c r="S141" s="7"/>
      <c r="T141" s="7"/>
      <c r="U141" s="7">
        <v>399859.31</v>
      </c>
      <c r="V141" s="64">
        <f t="shared" si="61"/>
        <v>399859.31</v>
      </c>
      <c r="W141" s="7"/>
      <c r="X141" s="7"/>
      <c r="Y141" s="7"/>
      <c r="Z141" s="7">
        <v>399859.31</v>
      </c>
      <c r="AA141" s="7">
        <f>U141-P141</f>
        <v>0</v>
      </c>
      <c r="AB141" s="7">
        <f>P141-Z141</f>
        <v>0</v>
      </c>
      <c r="AC141" s="205" t="s">
        <v>343</v>
      </c>
    </row>
    <row r="142" spans="1:29" s="65" customFormat="1" ht="60.75" customHeight="1" x14ac:dyDescent="0.25">
      <c r="A142" s="60" t="s">
        <v>220</v>
      </c>
      <c r="B142" s="61" t="s">
        <v>208</v>
      </c>
      <c r="C142" s="61">
        <v>226</v>
      </c>
      <c r="D142" s="66" t="s">
        <v>223</v>
      </c>
      <c r="E142" s="66"/>
      <c r="F142" s="7">
        <v>92781.63</v>
      </c>
      <c r="G142" s="98"/>
      <c r="H142" s="253"/>
      <c r="I142" s="7">
        <f>F142-G142-H142</f>
        <v>92781.63</v>
      </c>
      <c r="J142" s="7"/>
      <c r="K142" s="7"/>
      <c r="L142" s="63">
        <f t="shared" si="59"/>
        <v>92781.63</v>
      </c>
      <c r="M142" s="7"/>
      <c r="N142" s="7"/>
      <c r="O142" s="7"/>
      <c r="P142" s="7">
        <v>92781.63</v>
      </c>
      <c r="Q142" s="63">
        <f t="shared" si="60"/>
        <v>92781.63</v>
      </c>
      <c r="R142" s="7"/>
      <c r="S142" s="7"/>
      <c r="T142" s="7"/>
      <c r="U142" s="7">
        <v>92781.63</v>
      </c>
      <c r="V142" s="64">
        <f t="shared" si="61"/>
        <v>27680.870000000003</v>
      </c>
      <c r="W142" s="7"/>
      <c r="X142" s="7"/>
      <c r="Y142" s="7"/>
      <c r="Z142" s="7">
        <v>27680.870000000003</v>
      </c>
      <c r="AA142" s="7">
        <f>U142-P142</f>
        <v>0</v>
      </c>
      <c r="AB142" s="7">
        <f>P142-Z142</f>
        <v>65100.76</v>
      </c>
      <c r="AC142" s="205" t="s">
        <v>343</v>
      </c>
    </row>
    <row r="143" spans="1:29" s="65" customFormat="1" ht="48.75" customHeight="1" x14ac:dyDescent="0.25">
      <c r="A143" s="60" t="s">
        <v>247</v>
      </c>
      <c r="B143" s="68" t="s">
        <v>248</v>
      </c>
      <c r="C143" s="68">
        <v>226</v>
      </c>
      <c r="D143" s="121" t="s">
        <v>308</v>
      </c>
      <c r="E143" s="121"/>
      <c r="F143" s="7">
        <v>1239</v>
      </c>
      <c r="G143" s="98"/>
      <c r="H143" s="253"/>
      <c r="I143" s="7">
        <f>F143-G143-H143</f>
        <v>1239</v>
      </c>
      <c r="J143" s="7"/>
      <c r="K143" s="7"/>
      <c r="L143" s="63">
        <f t="shared" si="59"/>
        <v>1239</v>
      </c>
      <c r="M143" s="7"/>
      <c r="N143" s="7"/>
      <c r="O143" s="7"/>
      <c r="P143" s="7">
        <v>1239</v>
      </c>
      <c r="Q143" s="63">
        <f t="shared" si="60"/>
        <v>1239</v>
      </c>
      <c r="R143" s="7"/>
      <c r="S143" s="7"/>
      <c r="T143" s="7"/>
      <c r="U143" s="7">
        <v>1239</v>
      </c>
      <c r="V143" s="64">
        <f t="shared" si="61"/>
        <v>1239</v>
      </c>
      <c r="W143" s="7"/>
      <c r="X143" s="7"/>
      <c r="Y143" s="7"/>
      <c r="Z143" s="7">
        <v>1239</v>
      </c>
      <c r="AA143" s="7">
        <f>U143-P143</f>
        <v>0</v>
      </c>
      <c r="AB143" s="7">
        <f t="shared" si="63"/>
        <v>0</v>
      </c>
      <c r="AC143" s="205" t="s">
        <v>343</v>
      </c>
    </row>
    <row r="144" spans="1:29" s="14" customFormat="1" ht="39" customHeight="1" x14ac:dyDescent="0.25">
      <c r="A144" s="11" t="s">
        <v>31</v>
      </c>
      <c r="B144" s="16" t="s">
        <v>9</v>
      </c>
      <c r="C144" s="16"/>
      <c r="D144" s="74">
        <f>SUM(F146:F160)</f>
        <v>88511014.370000005</v>
      </c>
      <c r="E144" s="74"/>
      <c r="F144" s="13">
        <f>SUM(F146:F161)</f>
        <v>88512253.370000005</v>
      </c>
      <c r="G144" s="102">
        <f>SUM(G146:G161)</f>
        <v>0</v>
      </c>
      <c r="H144" s="258">
        <f>SUM(H146:H161)</f>
        <v>1983642.79</v>
      </c>
      <c r="I144" s="93">
        <f>SUM(I146:I161)</f>
        <v>86528610.579999998</v>
      </c>
      <c r="J144" s="223">
        <f>SUM(J146:J161)</f>
        <v>1488.07</v>
      </c>
      <c r="K144" s="13">
        <f>F144/J144</f>
        <v>59481.243066522416</v>
      </c>
      <c r="L144" s="40">
        <f>SUM(L146:L161)</f>
        <v>55656744.589999981</v>
      </c>
      <c r="M144" s="13">
        <f>SUM(M146:M161)</f>
        <v>30765152.699999999</v>
      </c>
      <c r="N144" s="13">
        <f t="shared" ref="N144:AB144" si="64">SUM(N146:N161)</f>
        <v>14333311.33</v>
      </c>
      <c r="O144" s="13">
        <f t="shared" si="64"/>
        <v>6391697.96</v>
      </c>
      <c r="P144" s="13">
        <f t="shared" si="64"/>
        <v>4166582.6</v>
      </c>
      <c r="Q144" s="40">
        <f>SUM(Q146:Q161)</f>
        <v>86528610.579999983</v>
      </c>
      <c r="R144" s="13">
        <f t="shared" si="64"/>
        <v>30765152.699999999</v>
      </c>
      <c r="S144" s="13">
        <f t="shared" si="64"/>
        <v>14333311.33</v>
      </c>
      <c r="T144" s="13">
        <f t="shared" si="64"/>
        <v>6391697.96</v>
      </c>
      <c r="U144" s="13">
        <f t="shared" si="64"/>
        <v>35038448.589999996</v>
      </c>
      <c r="V144" s="40">
        <f>SUM(V146:V161)</f>
        <v>29220956.320000004</v>
      </c>
      <c r="W144" s="13">
        <f t="shared" si="64"/>
        <v>15778556.82</v>
      </c>
      <c r="X144" s="13">
        <f t="shared" si="64"/>
        <v>7383620.0700000003</v>
      </c>
      <c r="Y144" s="13">
        <f t="shared" si="64"/>
        <v>3378359.46</v>
      </c>
      <c r="Z144" s="13">
        <f t="shared" si="64"/>
        <v>2680419.9699999997</v>
      </c>
      <c r="AA144" s="40">
        <f>SUM(AA146:AA161)</f>
        <v>30871865.989999998</v>
      </c>
      <c r="AB144" s="40">
        <f t="shared" si="64"/>
        <v>35371367.11999999</v>
      </c>
      <c r="AC144" s="207"/>
    </row>
    <row r="145" spans="1:29" ht="102.75" customHeight="1" x14ac:dyDescent="0.25">
      <c r="A145" s="351" t="s">
        <v>52</v>
      </c>
      <c r="B145" s="1" t="s">
        <v>184</v>
      </c>
      <c r="C145" s="276">
        <v>310</v>
      </c>
      <c r="D145" s="318" t="s">
        <v>352</v>
      </c>
      <c r="E145" s="279"/>
      <c r="F145" s="2">
        <f>68235644.64+14126383.34</f>
        <v>82362027.980000004</v>
      </c>
      <c r="G145" s="98"/>
      <c r="H145" s="253"/>
      <c r="I145" s="7">
        <f t="shared" ref="I145:I150" si="65">F145-G145-H145</f>
        <v>82362027.980000004</v>
      </c>
      <c r="J145" s="129">
        <v>1488.07</v>
      </c>
      <c r="K145" s="36">
        <f>F145/J145</f>
        <v>55348.221508396789</v>
      </c>
      <c r="L145" s="41">
        <f t="shared" ref="L145:AB145" si="66">SUM(L146:L147)</f>
        <v>51490161.989999995</v>
      </c>
      <c r="M145" s="2">
        <f t="shared" si="66"/>
        <v>30765152.699999999</v>
      </c>
      <c r="N145" s="2">
        <f t="shared" si="66"/>
        <v>14333311.33</v>
      </c>
      <c r="O145" s="2">
        <f t="shared" si="66"/>
        <v>6391697.96</v>
      </c>
      <c r="P145" s="2">
        <f t="shared" si="66"/>
        <v>0</v>
      </c>
      <c r="Q145" s="41">
        <f t="shared" si="66"/>
        <v>82362027.979999989</v>
      </c>
      <c r="R145" s="2">
        <f t="shared" si="66"/>
        <v>30765152.699999999</v>
      </c>
      <c r="S145" s="2">
        <f t="shared" si="66"/>
        <v>14333311.33</v>
      </c>
      <c r="T145" s="2">
        <f t="shared" si="66"/>
        <v>6391697.96</v>
      </c>
      <c r="U145" s="2">
        <f t="shared" si="66"/>
        <v>30871865.989999998</v>
      </c>
      <c r="V145" s="41">
        <f t="shared" si="66"/>
        <v>26540536.350000001</v>
      </c>
      <c r="W145" s="2">
        <f t="shared" si="66"/>
        <v>15778556.82</v>
      </c>
      <c r="X145" s="2">
        <f t="shared" si="66"/>
        <v>7383620.0700000003</v>
      </c>
      <c r="Y145" s="2">
        <f t="shared" si="66"/>
        <v>3378359.46</v>
      </c>
      <c r="Z145" s="2">
        <f t="shared" si="66"/>
        <v>0</v>
      </c>
      <c r="AA145" s="41">
        <f t="shared" si="66"/>
        <v>30871865.989999998</v>
      </c>
      <c r="AB145" s="41">
        <f t="shared" si="66"/>
        <v>33885204.489999995</v>
      </c>
    </row>
    <row r="146" spans="1:29" s="33" customFormat="1" x14ac:dyDescent="0.25">
      <c r="A146" s="352"/>
      <c r="B146" s="31" t="s">
        <v>182</v>
      </c>
      <c r="C146" s="277"/>
      <c r="D146" s="319"/>
      <c r="E146" s="280"/>
      <c r="F146" s="32">
        <v>76925172.180000007</v>
      </c>
      <c r="G146" s="100"/>
      <c r="H146" s="267"/>
      <c r="I146" s="7">
        <f t="shared" si="65"/>
        <v>76925172.180000007</v>
      </c>
      <c r="J146" s="222">
        <v>1389.84</v>
      </c>
      <c r="K146" s="32"/>
      <c r="L146" s="44">
        <f>SUM(M146:P146)</f>
        <v>48178674.989999995</v>
      </c>
      <c r="M146" s="2">
        <f>20049819.85+8592779.94</f>
        <v>28642599.789999999</v>
      </c>
      <c r="N146" s="32">
        <v>13403385.199999999</v>
      </c>
      <c r="O146" s="132">
        <v>6132690</v>
      </c>
      <c r="P146" s="32">
        <v>0</v>
      </c>
      <c r="Q146" s="44">
        <f>SUM(R146:U146)</f>
        <v>76925172.179999992</v>
      </c>
      <c r="R146" s="32">
        <v>28642599.789999999</v>
      </c>
      <c r="S146" s="32">
        <v>13403385.199999999</v>
      </c>
      <c r="T146" s="32">
        <v>6132690</v>
      </c>
      <c r="U146" s="32">
        <f>2453196.2+26293300.99</f>
        <v>28746497.189999998</v>
      </c>
      <c r="V146" s="44">
        <f>SUM(W146:Z146)</f>
        <v>26540536.350000001</v>
      </c>
      <c r="W146" s="32">
        <f>14384281.71+1394275.11</f>
        <v>15778556.82</v>
      </c>
      <c r="X146" s="32">
        <f>6731165.11+652454.96</f>
        <v>7383620.0700000003</v>
      </c>
      <c r="Y146" s="32">
        <f>3079830.1+298529.36</f>
        <v>3378359.46</v>
      </c>
      <c r="Z146" s="32">
        <v>0</v>
      </c>
      <c r="AA146" s="32">
        <f>T146-O146+U146</f>
        <v>28746497.189999998</v>
      </c>
      <c r="AB146" s="32">
        <f>AA146+O146-Y146</f>
        <v>31500827.729999997</v>
      </c>
      <c r="AC146" s="210"/>
    </row>
    <row r="147" spans="1:29" s="33" customFormat="1" x14ac:dyDescent="0.25">
      <c r="A147" s="353"/>
      <c r="B147" s="31" t="s">
        <v>183</v>
      </c>
      <c r="C147" s="278"/>
      <c r="D147" s="320"/>
      <c r="E147" s="281"/>
      <c r="F147" s="32">
        <v>5436855.7999999998</v>
      </c>
      <c r="G147" s="100"/>
      <c r="H147" s="267"/>
      <c r="I147" s="7">
        <f t="shared" si="65"/>
        <v>5436855.7999999998</v>
      </c>
      <c r="J147" s="222">
        <v>98.23</v>
      </c>
      <c r="K147" s="32"/>
      <c r="L147" s="44">
        <f>SUM(M147:P147)</f>
        <v>3311487</v>
      </c>
      <c r="M147" s="32">
        <v>2122552.91</v>
      </c>
      <c r="N147" s="32">
        <v>929926.13</v>
      </c>
      <c r="O147" s="32">
        <v>259007.96</v>
      </c>
      <c r="P147" s="32">
        <v>0</v>
      </c>
      <c r="Q147" s="44">
        <f>SUM(R147:U147)</f>
        <v>5436855.7999999998</v>
      </c>
      <c r="R147" s="32">
        <v>2122552.91</v>
      </c>
      <c r="S147" s="32">
        <v>929926.13</v>
      </c>
      <c r="T147" s="32">
        <v>259007.96</v>
      </c>
      <c r="U147" s="32">
        <f>267031.9+1858336.9</f>
        <v>2125368.7999999998</v>
      </c>
      <c r="V147" s="44">
        <f>SUM(W147:Z147)</f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f>U147</f>
        <v>2125368.7999999998</v>
      </c>
      <c r="AB147" s="32">
        <f>AA147+O147</f>
        <v>2384376.7599999998</v>
      </c>
      <c r="AC147" s="210"/>
    </row>
    <row r="148" spans="1:29" s="8" customFormat="1" ht="27.75" customHeight="1" x14ac:dyDescent="0.25">
      <c r="A148" s="5" t="s">
        <v>53</v>
      </c>
      <c r="B148" s="1" t="s">
        <v>8</v>
      </c>
      <c r="C148" s="1">
        <v>226</v>
      </c>
      <c r="D148" s="25" t="s">
        <v>169</v>
      </c>
      <c r="E148" s="25"/>
      <c r="F148" s="2">
        <v>10000</v>
      </c>
      <c r="G148" s="98"/>
      <c r="H148" s="253">
        <v>10000</v>
      </c>
      <c r="I148" s="7">
        <f t="shared" si="65"/>
        <v>0</v>
      </c>
      <c r="J148" s="2"/>
      <c r="K148" s="2"/>
      <c r="L148" s="44">
        <f t="shared" ref="L148:L160" si="67">SUM(M148:P148)</f>
        <v>0</v>
      </c>
      <c r="M148" s="2"/>
      <c r="N148" s="2"/>
      <c r="O148" s="2"/>
      <c r="P148" s="2"/>
      <c r="Q148" s="44">
        <f t="shared" ref="Q148:Q160" si="68">SUM(R148:U148)</f>
        <v>0</v>
      </c>
      <c r="R148" s="2"/>
      <c r="S148" s="2"/>
      <c r="T148" s="2"/>
      <c r="U148" s="2"/>
      <c r="V148" s="44">
        <f t="shared" ref="V148:V160" si="69">SUM(W148:Z148)</f>
        <v>0</v>
      </c>
      <c r="W148" s="2"/>
      <c r="X148" s="2"/>
      <c r="Y148" s="2"/>
      <c r="Z148" s="2"/>
      <c r="AA148" s="2"/>
      <c r="AB148" s="2"/>
      <c r="AC148" s="205"/>
    </row>
    <row r="149" spans="1:29" x14ac:dyDescent="0.25">
      <c r="A149" s="282" t="s">
        <v>54</v>
      </c>
      <c r="B149" s="3" t="s">
        <v>1</v>
      </c>
      <c r="C149" s="3">
        <v>226</v>
      </c>
      <c r="D149" s="29"/>
      <c r="E149" s="29"/>
      <c r="F149" s="2">
        <v>0</v>
      </c>
      <c r="G149" s="98"/>
      <c r="H149" s="253"/>
      <c r="I149" s="7">
        <f t="shared" si="65"/>
        <v>0</v>
      </c>
      <c r="J149" s="2"/>
      <c r="K149" s="2"/>
      <c r="L149" s="44">
        <f t="shared" si="67"/>
        <v>0</v>
      </c>
      <c r="M149" s="2"/>
      <c r="N149" s="2"/>
      <c r="O149" s="2"/>
      <c r="P149" s="2"/>
      <c r="Q149" s="44">
        <f t="shared" si="68"/>
        <v>0</v>
      </c>
      <c r="R149" s="2"/>
      <c r="S149" s="2"/>
      <c r="T149" s="2"/>
      <c r="U149" s="2"/>
      <c r="V149" s="44">
        <f t="shared" si="69"/>
        <v>0</v>
      </c>
      <c r="W149" s="2"/>
      <c r="X149" s="2"/>
      <c r="Y149" s="2"/>
      <c r="Z149" s="2"/>
      <c r="AA149" s="2"/>
      <c r="AB149" s="2"/>
    </row>
    <row r="150" spans="1:29" ht="36" x14ac:dyDescent="0.25">
      <c r="A150" s="282" t="s">
        <v>55</v>
      </c>
      <c r="B150" s="3" t="s">
        <v>11</v>
      </c>
      <c r="C150" s="3">
        <v>226</v>
      </c>
      <c r="D150" s="25" t="s">
        <v>132</v>
      </c>
      <c r="E150" s="25"/>
      <c r="F150" s="2">
        <v>1490455.64</v>
      </c>
      <c r="G150" s="98"/>
      <c r="H150" s="253">
        <v>1490455.64</v>
      </c>
      <c r="I150" s="7">
        <f t="shared" si="65"/>
        <v>0</v>
      </c>
      <c r="J150" s="2"/>
      <c r="K150" s="2"/>
      <c r="L150" s="44">
        <f t="shared" si="67"/>
        <v>0</v>
      </c>
      <c r="M150" s="2"/>
      <c r="N150" s="2"/>
      <c r="O150" s="2"/>
      <c r="P150" s="2"/>
      <c r="Q150" s="44">
        <f t="shared" si="68"/>
        <v>0</v>
      </c>
      <c r="R150" s="2"/>
      <c r="S150" s="2"/>
      <c r="T150" s="2"/>
      <c r="U150" s="2"/>
      <c r="V150" s="44">
        <f t="shared" si="69"/>
        <v>0</v>
      </c>
      <c r="W150" s="2"/>
      <c r="X150" s="2"/>
      <c r="Y150" s="2"/>
      <c r="Z150" s="2"/>
      <c r="AA150" s="2"/>
      <c r="AB150" s="2"/>
    </row>
    <row r="151" spans="1:29" s="65" customFormat="1" ht="29.25" customHeight="1" x14ac:dyDescent="0.25">
      <c r="A151" s="60" t="s">
        <v>56</v>
      </c>
      <c r="B151" s="61" t="s">
        <v>20</v>
      </c>
      <c r="C151" s="61">
        <v>226</v>
      </c>
      <c r="D151" s="66" t="s">
        <v>205</v>
      </c>
      <c r="E151" s="66" t="s">
        <v>336</v>
      </c>
      <c r="F151" s="7">
        <v>139596.66</v>
      </c>
      <c r="G151" s="98"/>
      <c r="H151" s="253"/>
      <c r="I151" s="7">
        <f t="shared" ref="I151:I161" si="70">F151-G151-H151</f>
        <v>139596.66</v>
      </c>
      <c r="J151" s="7"/>
      <c r="K151" s="7"/>
      <c r="L151" s="69">
        <f t="shared" si="67"/>
        <v>139596.66</v>
      </c>
      <c r="M151" s="7"/>
      <c r="N151" s="7"/>
      <c r="O151" s="7"/>
      <c r="P151" s="7">
        <v>139596.66</v>
      </c>
      <c r="Q151" s="69">
        <f t="shared" si="68"/>
        <v>139596.66</v>
      </c>
      <c r="R151" s="7"/>
      <c r="S151" s="7"/>
      <c r="T151" s="7"/>
      <c r="U151" s="7">
        <v>139596.66</v>
      </c>
      <c r="V151" s="69">
        <f t="shared" si="69"/>
        <v>43827.62</v>
      </c>
      <c r="W151" s="7"/>
      <c r="X151" s="7"/>
      <c r="Y151" s="7"/>
      <c r="Z151" s="7">
        <f>14603.07+21433+7791.55</f>
        <v>43827.62</v>
      </c>
      <c r="AA151" s="7">
        <f>U151-P151</f>
        <v>0</v>
      </c>
      <c r="AB151" s="7">
        <f>P151-Z151</f>
        <v>95769.040000000008</v>
      </c>
      <c r="AC151" s="205"/>
    </row>
    <row r="152" spans="1:29" ht="36" x14ac:dyDescent="0.25">
      <c r="A152" s="282" t="s">
        <v>57</v>
      </c>
      <c r="B152" s="3" t="s">
        <v>12</v>
      </c>
      <c r="C152" s="3">
        <v>226</v>
      </c>
      <c r="D152" s="25" t="s">
        <v>154</v>
      </c>
      <c r="E152" s="203" t="s">
        <v>340</v>
      </c>
      <c r="F152" s="2">
        <v>418391.17</v>
      </c>
      <c r="G152" s="98"/>
      <c r="H152" s="253">
        <v>188276.02</v>
      </c>
      <c r="I152" s="7">
        <f t="shared" si="70"/>
        <v>230115.15</v>
      </c>
      <c r="J152" s="2"/>
      <c r="K152" s="2"/>
      <c r="L152" s="44">
        <f t="shared" si="67"/>
        <v>230115.15</v>
      </c>
      <c r="M152" s="2"/>
      <c r="N152" s="2"/>
      <c r="O152" s="2"/>
      <c r="P152" s="2">
        <v>230115.15</v>
      </c>
      <c r="Q152" s="44">
        <f t="shared" si="68"/>
        <v>230115.15</v>
      </c>
      <c r="R152" s="2"/>
      <c r="S152" s="2"/>
      <c r="T152" s="2"/>
      <c r="U152" s="2">
        <v>230115.15</v>
      </c>
      <c r="V152" s="44">
        <f t="shared" si="69"/>
        <v>0</v>
      </c>
      <c r="W152" s="2"/>
      <c r="X152" s="2"/>
      <c r="Y152" s="2"/>
      <c r="Z152" s="2"/>
      <c r="AA152" s="2">
        <f>U152-P152</f>
        <v>0</v>
      </c>
      <c r="AB152" s="7">
        <f>U152-Z152</f>
        <v>230115.15</v>
      </c>
    </row>
    <row r="153" spans="1:29" s="65" customFormat="1" ht="24" x14ac:dyDescent="0.25">
      <c r="A153" s="60" t="s">
        <v>58</v>
      </c>
      <c r="B153" s="61" t="s">
        <v>13</v>
      </c>
      <c r="C153" s="61">
        <v>226</v>
      </c>
      <c r="D153" s="66" t="s">
        <v>161</v>
      </c>
      <c r="E153" s="66"/>
      <c r="F153" s="7">
        <v>901873.41</v>
      </c>
      <c r="G153" s="98"/>
      <c r="H153" s="253"/>
      <c r="I153" s="7">
        <f t="shared" si="70"/>
        <v>901873.41</v>
      </c>
      <c r="J153" s="7"/>
      <c r="K153" s="7"/>
      <c r="L153" s="69">
        <f t="shared" si="67"/>
        <v>901873.41</v>
      </c>
      <c r="M153" s="7"/>
      <c r="N153" s="7"/>
      <c r="O153" s="7"/>
      <c r="P153" s="7">
        <v>901873.41</v>
      </c>
      <c r="Q153" s="69">
        <f t="shared" si="68"/>
        <v>901873.41</v>
      </c>
      <c r="R153" s="7"/>
      <c r="S153" s="7"/>
      <c r="T153" s="7"/>
      <c r="U153" s="7">
        <v>901873.41</v>
      </c>
      <c r="V153" s="69">
        <f t="shared" si="69"/>
        <v>586217.72</v>
      </c>
      <c r="W153" s="7"/>
      <c r="X153" s="7"/>
      <c r="Y153" s="7"/>
      <c r="Z153" s="7">
        <v>586217.72</v>
      </c>
      <c r="AA153" s="7">
        <f>U153-P153</f>
        <v>0</v>
      </c>
      <c r="AB153" s="7">
        <f t="shared" ref="AB153:AB160" si="71">P153-Z153</f>
        <v>315655.69000000006</v>
      </c>
      <c r="AC153" s="205"/>
    </row>
    <row r="154" spans="1:29" s="65" customFormat="1" ht="24" x14ac:dyDescent="0.25">
      <c r="A154" s="60" t="s">
        <v>59</v>
      </c>
      <c r="B154" s="61" t="s">
        <v>15</v>
      </c>
      <c r="C154" s="61">
        <v>226</v>
      </c>
      <c r="D154" s="62" t="s">
        <v>162</v>
      </c>
      <c r="E154" s="62"/>
      <c r="F154" s="7">
        <v>985179.19</v>
      </c>
      <c r="G154" s="98"/>
      <c r="H154" s="253"/>
      <c r="I154" s="7">
        <f t="shared" si="70"/>
        <v>985179.19</v>
      </c>
      <c r="J154" s="7"/>
      <c r="K154" s="7"/>
      <c r="L154" s="69">
        <f t="shared" si="67"/>
        <v>985179.19</v>
      </c>
      <c r="M154" s="7"/>
      <c r="N154" s="7"/>
      <c r="O154" s="7"/>
      <c r="P154" s="7">
        <v>985179.19</v>
      </c>
      <c r="Q154" s="69">
        <f t="shared" si="68"/>
        <v>985179.19</v>
      </c>
      <c r="R154" s="7"/>
      <c r="S154" s="7"/>
      <c r="T154" s="7"/>
      <c r="U154" s="7">
        <v>985179.19</v>
      </c>
      <c r="V154" s="69">
        <f t="shared" si="69"/>
        <v>640366.48</v>
      </c>
      <c r="W154" s="7"/>
      <c r="X154" s="7"/>
      <c r="Y154" s="7"/>
      <c r="Z154" s="7">
        <v>640366.48</v>
      </c>
      <c r="AA154" s="7">
        <f>U154-P154</f>
        <v>0</v>
      </c>
      <c r="AB154" s="7">
        <f t="shared" si="71"/>
        <v>344812.70999999996</v>
      </c>
      <c r="AC154" s="205"/>
    </row>
    <row r="155" spans="1:29" s="65" customFormat="1" ht="36" x14ac:dyDescent="0.25">
      <c r="A155" s="60" t="s">
        <v>60</v>
      </c>
      <c r="B155" s="61" t="s">
        <v>14</v>
      </c>
      <c r="C155" s="61">
        <v>226</v>
      </c>
      <c r="D155" s="66" t="s">
        <v>164</v>
      </c>
      <c r="E155" s="203" t="s">
        <v>342</v>
      </c>
      <c r="F155" s="7">
        <v>1319877.29</v>
      </c>
      <c r="G155" s="98"/>
      <c r="H155" s="253"/>
      <c r="I155" s="7">
        <f t="shared" si="70"/>
        <v>1319877.29</v>
      </c>
      <c r="J155" s="7"/>
      <c r="K155" s="7"/>
      <c r="L155" s="69">
        <f t="shared" si="67"/>
        <v>1319877.29</v>
      </c>
      <c r="M155" s="7"/>
      <c r="N155" s="7"/>
      <c r="O155" s="7"/>
      <c r="P155" s="7">
        <v>1319877.29</v>
      </c>
      <c r="Q155" s="69">
        <f t="shared" si="68"/>
        <v>1319877.29</v>
      </c>
      <c r="R155" s="7"/>
      <c r="S155" s="7"/>
      <c r="T155" s="7"/>
      <c r="U155" s="7">
        <v>1319877.29</v>
      </c>
      <c r="V155" s="69">
        <f t="shared" si="69"/>
        <v>857920.23</v>
      </c>
      <c r="W155" s="7"/>
      <c r="X155" s="7"/>
      <c r="Y155" s="7"/>
      <c r="Z155" s="7">
        <v>857920.23</v>
      </c>
      <c r="AA155" s="7">
        <f>U155-P155</f>
        <v>0</v>
      </c>
      <c r="AB155" s="7">
        <f t="shared" si="71"/>
        <v>461957.06000000006</v>
      </c>
      <c r="AC155" s="205"/>
    </row>
    <row r="156" spans="1:29" s="8" customFormat="1" x14ac:dyDescent="0.25">
      <c r="A156" s="5" t="s">
        <v>61</v>
      </c>
      <c r="B156" s="1" t="s">
        <v>22</v>
      </c>
      <c r="C156" s="1">
        <v>226</v>
      </c>
      <c r="D156" s="25" t="s">
        <v>170</v>
      </c>
      <c r="E156" s="25"/>
      <c r="F156" s="2">
        <v>9356.75</v>
      </c>
      <c r="G156" s="98"/>
      <c r="H156" s="253">
        <v>9356.75</v>
      </c>
      <c r="I156" s="7">
        <f t="shared" si="70"/>
        <v>0</v>
      </c>
      <c r="J156" s="2"/>
      <c r="K156" s="2"/>
      <c r="L156" s="44">
        <f t="shared" si="67"/>
        <v>0</v>
      </c>
      <c r="M156" s="2"/>
      <c r="N156" s="2"/>
      <c r="O156" s="2"/>
      <c r="P156" s="2"/>
      <c r="Q156" s="44">
        <f t="shared" si="68"/>
        <v>0</v>
      </c>
      <c r="R156" s="2"/>
      <c r="S156" s="2"/>
      <c r="T156" s="2"/>
      <c r="U156" s="2"/>
      <c r="V156" s="44">
        <f t="shared" si="69"/>
        <v>0</v>
      </c>
      <c r="W156" s="2"/>
      <c r="X156" s="2"/>
      <c r="Y156" s="2"/>
      <c r="Z156" s="2"/>
      <c r="AA156" s="2"/>
      <c r="AB156" s="7">
        <f t="shared" si="71"/>
        <v>0</v>
      </c>
      <c r="AC156" s="205"/>
    </row>
    <row r="157" spans="1:29" s="65" customFormat="1" ht="39" customHeight="1" x14ac:dyDescent="0.25">
      <c r="A157" s="60" t="s">
        <v>120</v>
      </c>
      <c r="B157" s="68" t="s">
        <v>24</v>
      </c>
      <c r="C157" s="61">
        <v>226</v>
      </c>
      <c r="D157" s="66" t="s">
        <v>174</v>
      </c>
      <c r="E157" s="66"/>
      <c r="F157" s="254">
        <v>99174</v>
      </c>
      <c r="G157" s="98"/>
      <c r="H157" s="253"/>
      <c r="I157" s="7">
        <f t="shared" si="70"/>
        <v>99174</v>
      </c>
      <c r="J157" s="7"/>
      <c r="K157" s="7"/>
      <c r="L157" s="69">
        <f t="shared" si="67"/>
        <v>99174</v>
      </c>
      <c r="M157" s="7"/>
      <c r="N157" s="7"/>
      <c r="O157" s="7"/>
      <c r="P157" s="226">
        <v>99174</v>
      </c>
      <c r="Q157" s="69">
        <f t="shared" si="68"/>
        <v>99174</v>
      </c>
      <c r="R157" s="7"/>
      <c r="S157" s="7"/>
      <c r="T157" s="7"/>
      <c r="U157" s="7">
        <v>99174</v>
      </c>
      <c r="V157" s="69">
        <f t="shared" si="69"/>
        <v>99174</v>
      </c>
      <c r="W157" s="7"/>
      <c r="X157" s="7"/>
      <c r="Y157" s="7"/>
      <c r="Z157" s="7">
        <v>99174</v>
      </c>
      <c r="AA157" s="7">
        <f>U157-P157</f>
        <v>0</v>
      </c>
      <c r="AB157" s="7">
        <f t="shared" si="71"/>
        <v>0</v>
      </c>
      <c r="AC157" s="205"/>
    </row>
    <row r="158" spans="1:29" ht="30" customHeight="1" x14ac:dyDescent="0.25">
      <c r="A158" s="282" t="s">
        <v>121</v>
      </c>
      <c r="B158" s="6" t="s">
        <v>21</v>
      </c>
      <c r="C158" s="3">
        <v>226</v>
      </c>
      <c r="D158" s="25" t="s">
        <v>172</v>
      </c>
      <c r="E158" s="25"/>
      <c r="F158" s="7">
        <v>98932</v>
      </c>
      <c r="G158" s="101"/>
      <c r="H158" s="253">
        <v>98932</v>
      </c>
      <c r="I158" s="7">
        <f t="shared" si="70"/>
        <v>0</v>
      </c>
      <c r="J158" s="2"/>
      <c r="K158" s="2"/>
      <c r="L158" s="44">
        <f t="shared" si="67"/>
        <v>0</v>
      </c>
      <c r="M158" s="2"/>
      <c r="N158" s="2"/>
      <c r="O158" s="2"/>
      <c r="P158" s="230"/>
      <c r="Q158" s="44">
        <f t="shared" si="68"/>
        <v>0</v>
      </c>
      <c r="R158" s="2"/>
      <c r="S158" s="2"/>
      <c r="T158" s="2"/>
      <c r="U158" s="2"/>
      <c r="V158" s="44">
        <f t="shared" si="69"/>
        <v>0</v>
      </c>
      <c r="W158" s="2"/>
      <c r="X158" s="2"/>
      <c r="Y158" s="7">
        <f>R158-M158</f>
        <v>0</v>
      </c>
      <c r="Z158" s="2"/>
      <c r="AA158" s="2"/>
      <c r="AB158" s="7">
        <f t="shared" si="71"/>
        <v>0</v>
      </c>
    </row>
    <row r="159" spans="1:29" s="65" customFormat="1" ht="48" customHeight="1" x14ac:dyDescent="0.25">
      <c r="A159" s="60" t="s">
        <v>122</v>
      </c>
      <c r="B159" s="61" t="s">
        <v>23</v>
      </c>
      <c r="C159" s="61">
        <v>226</v>
      </c>
      <c r="D159" s="66" t="s">
        <v>155</v>
      </c>
      <c r="E159" s="66"/>
      <c r="F159" s="7">
        <v>622074.59</v>
      </c>
      <c r="G159" s="98"/>
      <c r="H159" s="253">
        <v>186622.38</v>
      </c>
      <c r="I159" s="7">
        <f t="shared" si="70"/>
        <v>435452.20999999996</v>
      </c>
      <c r="J159" s="7"/>
      <c r="K159" s="7"/>
      <c r="L159" s="69">
        <f t="shared" si="67"/>
        <v>435452.21</v>
      </c>
      <c r="M159" s="7"/>
      <c r="N159" s="7"/>
      <c r="O159" s="7"/>
      <c r="P159" s="226">
        <v>435452.21</v>
      </c>
      <c r="Q159" s="69">
        <f t="shared" si="68"/>
        <v>435452.21</v>
      </c>
      <c r="R159" s="7"/>
      <c r="S159" s="7"/>
      <c r="T159" s="7"/>
      <c r="U159" s="7">
        <v>435452.21</v>
      </c>
      <c r="V159" s="69">
        <f t="shared" si="69"/>
        <v>435452.21</v>
      </c>
      <c r="W159" s="7"/>
      <c r="X159" s="7"/>
      <c r="Y159" s="7"/>
      <c r="Z159" s="7">
        <v>435452.21</v>
      </c>
      <c r="AA159" s="7">
        <f>U159-P159</f>
        <v>0</v>
      </c>
      <c r="AB159" s="7">
        <f t="shared" si="71"/>
        <v>0</v>
      </c>
      <c r="AC159" s="205"/>
    </row>
    <row r="160" spans="1:29" s="65" customFormat="1" ht="77.25" customHeight="1" x14ac:dyDescent="0.25">
      <c r="A160" s="60" t="s">
        <v>222</v>
      </c>
      <c r="B160" s="61" t="s">
        <v>208</v>
      </c>
      <c r="C160" s="61">
        <v>226</v>
      </c>
      <c r="D160" s="66" t="s">
        <v>221</v>
      </c>
      <c r="E160" s="66"/>
      <c r="F160" s="7">
        <v>54075.69</v>
      </c>
      <c r="G160" s="98"/>
      <c r="H160" s="253"/>
      <c r="I160" s="7">
        <f t="shared" si="70"/>
        <v>54075.69</v>
      </c>
      <c r="J160" s="7"/>
      <c r="K160" s="7"/>
      <c r="L160" s="69">
        <f t="shared" si="67"/>
        <v>54075.69</v>
      </c>
      <c r="M160" s="7"/>
      <c r="N160" s="7"/>
      <c r="O160" s="7"/>
      <c r="P160" s="7">
        <v>54075.69</v>
      </c>
      <c r="Q160" s="69">
        <f t="shared" si="68"/>
        <v>54075.69</v>
      </c>
      <c r="R160" s="7"/>
      <c r="S160" s="7"/>
      <c r="T160" s="7"/>
      <c r="U160" s="7">
        <v>54075.69</v>
      </c>
      <c r="V160" s="69">
        <f t="shared" si="69"/>
        <v>16222.71</v>
      </c>
      <c r="W160" s="7"/>
      <c r="X160" s="7"/>
      <c r="Y160" s="7"/>
      <c r="Z160" s="7">
        <v>16222.71</v>
      </c>
      <c r="AA160" s="7">
        <f>U160-P160</f>
        <v>0</v>
      </c>
      <c r="AB160" s="7">
        <f t="shared" si="71"/>
        <v>37852.980000000003</v>
      </c>
      <c r="AC160" s="205"/>
    </row>
    <row r="161" spans="1:30" s="65" customFormat="1" ht="48.75" customHeight="1" x14ac:dyDescent="0.25">
      <c r="A161" s="60" t="s">
        <v>249</v>
      </c>
      <c r="B161" s="68" t="s">
        <v>248</v>
      </c>
      <c r="C161" s="68">
        <v>226</v>
      </c>
      <c r="D161" s="121" t="s">
        <v>308</v>
      </c>
      <c r="E161" s="121"/>
      <c r="F161" s="7">
        <v>1239</v>
      </c>
      <c r="G161" s="98"/>
      <c r="H161" s="253"/>
      <c r="I161" s="7">
        <f t="shared" si="70"/>
        <v>1239</v>
      </c>
      <c r="J161" s="7"/>
      <c r="K161" s="7"/>
      <c r="L161" s="63">
        <f>SUM(M161:P161)</f>
        <v>1239</v>
      </c>
      <c r="M161" s="7"/>
      <c r="N161" s="7"/>
      <c r="O161" s="7"/>
      <c r="P161" s="7">
        <v>1239</v>
      </c>
      <c r="Q161" s="63">
        <f>SUM(R161:U161)</f>
        <v>1239</v>
      </c>
      <c r="R161" s="7"/>
      <c r="S161" s="7"/>
      <c r="T161" s="7"/>
      <c r="U161" s="7">
        <v>1239</v>
      </c>
      <c r="V161" s="64">
        <f>SUM(W161:Z161)</f>
        <v>1239</v>
      </c>
      <c r="W161" s="7"/>
      <c r="X161" s="7"/>
      <c r="Y161" s="7"/>
      <c r="Z161" s="7">
        <v>1239</v>
      </c>
      <c r="AA161" s="7">
        <f>U161-P161</f>
        <v>0</v>
      </c>
      <c r="AB161" s="7">
        <f>P161-Z161</f>
        <v>0</v>
      </c>
      <c r="AC161" s="205"/>
    </row>
    <row r="162" spans="1:30" ht="36.75" customHeight="1" x14ac:dyDescent="0.25">
      <c r="A162" s="345" t="s">
        <v>225</v>
      </c>
      <c r="B162" s="346"/>
      <c r="C162" s="12">
        <v>310</v>
      </c>
      <c r="D162" s="51"/>
      <c r="E162" s="51"/>
      <c r="F162" s="53"/>
      <c r="G162" s="102"/>
      <c r="H162" s="258"/>
      <c r="I162" s="93"/>
      <c r="J162" s="53"/>
      <c r="K162" s="53"/>
      <c r="L162" s="54">
        <f>SUM(M162:P162)</f>
        <v>0</v>
      </c>
      <c r="M162" s="159">
        <f>33459321.29+14339709.13-M129-M146</f>
        <v>0</v>
      </c>
      <c r="N162" s="159">
        <f>22367690.85-N129-N146</f>
        <v>0</v>
      </c>
      <c r="O162" s="159">
        <f>10234288.73-O129-O146</f>
        <v>0</v>
      </c>
      <c r="P162" s="159">
        <f>0-P130-P146</f>
        <v>0</v>
      </c>
      <c r="Q162" s="54"/>
      <c r="R162" s="53"/>
      <c r="S162" s="53"/>
      <c r="T162" s="53"/>
      <c r="U162" s="53"/>
      <c r="V162" s="54"/>
      <c r="W162" s="53"/>
      <c r="X162" s="53"/>
      <c r="Y162" s="53"/>
      <c r="Z162" s="53"/>
      <c r="AA162" s="53">
        <f>0-O162</f>
        <v>0</v>
      </c>
      <c r="AB162" s="53"/>
    </row>
    <row r="163" spans="1:30" ht="38.25" customHeight="1" x14ac:dyDescent="0.25">
      <c r="A163" s="345" t="s">
        <v>225</v>
      </c>
      <c r="B163" s="346"/>
      <c r="C163" s="12">
        <v>226</v>
      </c>
      <c r="D163" s="51"/>
      <c r="E163" s="51"/>
      <c r="F163" s="53"/>
      <c r="G163" s="102"/>
      <c r="H163" s="258"/>
      <c r="I163" s="93"/>
      <c r="J163" s="53"/>
      <c r="K163" s="53"/>
      <c r="L163" s="54">
        <f>SUM(M163:P163)</f>
        <v>1.280568540096283E-9</v>
      </c>
      <c r="M163" s="53"/>
      <c r="N163" s="53"/>
      <c r="O163" s="53"/>
      <c r="P163" s="159">
        <f>(8752070.25+198582)-P134-P135-P136-P137-P138-P139-P141-P142-P143-P151-P152-P153-P154-P155-P157-P159-P160-P161</f>
        <v>1.280568540096283E-9</v>
      </c>
      <c r="Q163" s="54"/>
      <c r="R163" s="53"/>
      <c r="S163" s="53"/>
      <c r="T163" s="53"/>
      <c r="U163" s="53"/>
      <c r="V163" s="54"/>
      <c r="W163" s="53"/>
      <c r="X163" s="53"/>
      <c r="Y163" s="53"/>
      <c r="Z163" s="53"/>
      <c r="AA163" s="159">
        <f>0-P163</f>
        <v>-1.280568540096283E-9</v>
      </c>
      <c r="AB163" s="53"/>
      <c r="AC163" s="229"/>
    </row>
    <row r="164" spans="1:30" ht="42.75" customHeight="1" x14ac:dyDescent="0.25">
      <c r="A164" s="337" t="s">
        <v>358</v>
      </c>
      <c r="B164" s="338"/>
      <c r="C164" s="12"/>
      <c r="D164" s="51"/>
      <c r="E164" s="200"/>
      <c r="F164" s="52"/>
      <c r="G164" s="99"/>
      <c r="H164" s="264"/>
      <c r="I164" s="90"/>
      <c r="J164" s="53"/>
      <c r="K164" s="53"/>
      <c r="L164" s="227">
        <f>SUM(M164:P164)</f>
        <v>89351662.250000015</v>
      </c>
      <c r="M164" s="228">
        <f>M130+M146+M162+M163</f>
        <v>47799030.420000002</v>
      </c>
      <c r="N164" s="228">
        <f>N130+N146+N162+N163</f>
        <v>22367690.850000001</v>
      </c>
      <c r="O164" s="228">
        <f>O130+O146+O162+O163</f>
        <v>10234288.73</v>
      </c>
      <c r="P164" s="228">
        <f>P129+P146+P148+P149+P150+P151+P152+P153+P154+P155+P156+P157+P158+P159+P160+P161+P162+P163</f>
        <v>8950652.2500000037</v>
      </c>
      <c r="Q164" s="54"/>
      <c r="R164" s="53"/>
      <c r="S164" s="53"/>
      <c r="T164" s="53"/>
      <c r="U164" s="55"/>
      <c r="V164" s="54"/>
      <c r="W164" s="53"/>
      <c r="X164" s="53"/>
      <c r="Y164" s="53"/>
      <c r="Z164" s="53"/>
      <c r="AA164" s="159"/>
      <c r="AB164" s="53"/>
    </row>
    <row r="165" spans="1:30" ht="27" customHeight="1" x14ac:dyDescent="0.25">
      <c r="A165" s="347" t="s">
        <v>17</v>
      </c>
      <c r="B165" s="348"/>
      <c r="C165" s="18"/>
      <c r="D165" s="73"/>
      <c r="E165" s="73"/>
      <c r="F165" s="19">
        <f>F129+F144</f>
        <v>149796407.75</v>
      </c>
      <c r="G165" s="110">
        <f>G129+G144</f>
        <v>0</v>
      </c>
      <c r="H165" s="266">
        <f>H129+H144</f>
        <v>4079393.21</v>
      </c>
      <c r="I165" s="92">
        <f>I129+I144</f>
        <v>145717014.54000002</v>
      </c>
      <c r="J165" s="19">
        <f>J129+J144</f>
        <v>2481.48</v>
      </c>
      <c r="K165" s="19"/>
      <c r="L165" s="42">
        <f t="shared" ref="L165:AB165" si="72">L129+L144</f>
        <v>92663149.249999985</v>
      </c>
      <c r="M165" s="19">
        <f t="shared" si="72"/>
        <v>49921583.329999998</v>
      </c>
      <c r="N165" s="19">
        <f t="shared" si="72"/>
        <v>23297616.98</v>
      </c>
      <c r="O165" s="19">
        <f t="shared" si="72"/>
        <v>10493296.689999999</v>
      </c>
      <c r="P165" s="19">
        <f t="shared" si="72"/>
        <v>8950652.25</v>
      </c>
      <c r="Q165" s="42">
        <f t="shared" si="72"/>
        <v>145717014.53999999</v>
      </c>
      <c r="R165" s="19">
        <f t="shared" si="72"/>
        <v>49921583.329999998</v>
      </c>
      <c r="S165" s="19">
        <f t="shared" si="72"/>
        <v>23297616.98</v>
      </c>
      <c r="T165" s="19">
        <f t="shared" si="72"/>
        <v>10493296.689999999</v>
      </c>
      <c r="U165" s="19">
        <f t="shared" si="72"/>
        <v>62004517.539999992</v>
      </c>
      <c r="V165" s="42">
        <f t="shared" si="72"/>
        <v>50159842.980000004</v>
      </c>
      <c r="W165" s="19">
        <f t="shared" si="72"/>
        <v>26406983.199999999</v>
      </c>
      <c r="X165" s="19">
        <f t="shared" si="72"/>
        <v>12357222.109999999</v>
      </c>
      <c r="Y165" s="19">
        <f t="shared" si="72"/>
        <v>5654020.3399999999</v>
      </c>
      <c r="Z165" s="19">
        <f t="shared" si="72"/>
        <v>5741617.3300000001</v>
      </c>
      <c r="AA165" s="19">
        <f t="shared" si="72"/>
        <v>53053865.289999999</v>
      </c>
      <c r="AB165" s="19">
        <f t="shared" si="72"/>
        <v>61102176.559999995</v>
      </c>
      <c r="AC165" s="208">
        <f>O165+P165-Y165-Z165+AA165</f>
        <v>61102176.559999995</v>
      </c>
      <c r="AD165" s="49"/>
    </row>
    <row r="166" spans="1:30" ht="15" customHeight="1" x14ac:dyDescent="0.25">
      <c r="A166" s="349" t="s">
        <v>195</v>
      </c>
      <c r="B166" s="350"/>
      <c r="C166" s="18">
        <v>310</v>
      </c>
      <c r="D166" s="73"/>
      <c r="E166" s="18"/>
      <c r="F166" s="217">
        <f>F146+F130</f>
        <v>131329506.49000001</v>
      </c>
      <c r="G166" s="110">
        <f>G146+G130</f>
        <v>0</v>
      </c>
      <c r="H166" s="266">
        <f>H146+H130</f>
        <v>0</v>
      </c>
      <c r="I166" s="92">
        <f>I146+I130</f>
        <v>131329506.49000001</v>
      </c>
      <c r="J166" s="19">
        <f>J146+J130</f>
        <v>2383.25</v>
      </c>
      <c r="K166" s="19"/>
      <c r="L166" s="42">
        <f t="shared" ref="L166:AB166" si="73">L146+L130</f>
        <v>80401010</v>
      </c>
      <c r="M166" s="19">
        <f t="shared" si="73"/>
        <v>47799030.420000002</v>
      </c>
      <c r="N166" s="19">
        <f t="shared" si="73"/>
        <v>22367690.850000001</v>
      </c>
      <c r="O166" s="19">
        <f t="shared" si="73"/>
        <v>10234288.73</v>
      </c>
      <c r="P166" s="19">
        <f t="shared" si="73"/>
        <v>0</v>
      </c>
      <c r="Q166" s="42">
        <f t="shared" si="73"/>
        <v>131329506.48999999</v>
      </c>
      <c r="R166" s="19">
        <f t="shared" si="73"/>
        <v>47799030.420000002</v>
      </c>
      <c r="S166" s="19">
        <f t="shared" si="73"/>
        <v>22367690.850000001</v>
      </c>
      <c r="T166" s="19">
        <f t="shared" si="73"/>
        <v>10234288.73</v>
      </c>
      <c r="U166" s="19">
        <f t="shared" si="73"/>
        <v>50928496.489999995</v>
      </c>
      <c r="V166" s="42">
        <f t="shared" si="73"/>
        <v>44418225.649999999</v>
      </c>
      <c r="W166" s="19">
        <f t="shared" si="73"/>
        <v>26406983.199999999</v>
      </c>
      <c r="X166" s="19">
        <f t="shared" si="73"/>
        <v>12357222.109999999</v>
      </c>
      <c r="Y166" s="19">
        <f t="shared" si="73"/>
        <v>5654020.3399999999</v>
      </c>
      <c r="Z166" s="19">
        <f t="shared" si="73"/>
        <v>0</v>
      </c>
      <c r="AA166" s="19">
        <f t="shared" si="73"/>
        <v>50928496.489999995</v>
      </c>
      <c r="AB166" s="19">
        <f t="shared" si="73"/>
        <v>55508764.879999995</v>
      </c>
      <c r="AC166" s="208">
        <f>O166+P166-Y166-Z166+AA166</f>
        <v>55508764.879999995</v>
      </c>
      <c r="AD166" s="49"/>
    </row>
    <row r="167" spans="1:30" ht="15" customHeight="1" x14ac:dyDescent="0.25">
      <c r="A167" s="349" t="s">
        <v>195</v>
      </c>
      <c r="B167" s="350"/>
      <c r="C167" s="18" t="s">
        <v>236</v>
      </c>
      <c r="D167" s="73"/>
      <c r="E167" s="73"/>
      <c r="F167" s="217">
        <f>SUM(F131:F138,F140:F143,F148:F156,F158:F161)</f>
        <v>12831463.459999999</v>
      </c>
      <c r="G167" s="110">
        <f t="shared" ref="G167:AB167" si="74">SUM(G131:G138,G140:G143,G148:G156,G158:G161)</f>
        <v>0</v>
      </c>
      <c r="H167" s="266">
        <f t="shared" si="74"/>
        <v>4079393.2099999995</v>
      </c>
      <c r="I167" s="92">
        <f t="shared" si="74"/>
        <v>8752070.25</v>
      </c>
      <c r="J167" s="19">
        <f t="shared" si="74"/>
        <v>0</v>
      </c>
      <c r="K167" s="19">
        <f t="shared" si="74"/>
        <v>0</v>
      </c>
      <c r="L167" s="42">
        <f t="shared" si="74"/>
        <v>8752070.25</v>
      </c>
      <c r="M167" s="19">
        <f t="shared" si="74"/>
        <v>0</v>
      </c>
      <c r="N167" s="19">
        <f t="shared" si="74"/>
        <v>0</v>
      </c>
      <c r="O167" s="19">
        <f t="shared" si="74"/>
        <v>0</v>
      </c>
      <c r="P167" s="19">
        <f t="shared" si="74"/>
        <v>8752070.25</v>
      </c>
      <c r="Q167" s="42">
        <f t="shared" si="74"/>
        <v>8752070.25</v>
      </c>
      <c r="R167" s="19">
        <f t="shared" si="74"/>
        <v>0</v>
      </c>
      <c r="S167" s="19">
        <f t="shared" si="74"/>
        <v>0</v>
      </c>
      <c r="T167" s="19">
        <f t="shared" si="74"/>
        <v>0</v>
      </c>
      <c r="U167" s="19">
        <f t="shared" si="74"/>
        <v>8752070.25</v>
      </c>
      <c r="V167" s="42">
        <f t="shared" si="74"/>
        <v>5543035.3300000001</v>
      </c>
      <c r="W167" s="19">
        <f t="shared" si="74"/>
        <v>0</v>
      </c>
      <c r="X167" s="19">
        <f t="shared" si="74"/>
        <v>0</v>
      </c>
      <c r="Y167" s="19">
        <f t="shared" si="74"/>
        <v>0</v>
      </c>
      <c r="Z167" s="19">
        <f t="shared" si="74"/>
        <v>5543035.3300000001</v>
      </c>
      <c r="AA167" s="19">
        <f t="shared" si="74"/>
        <v>0</v>
      </c>
      <c r="AB167" s="19">
        <f t="shared" si="74"/>
        <v>3209034.92</v>
      </c>
      <c r="AC167" s="208">
        <f>O167+P167-Y167-Z167+AA167</f>
        <v>3209034.92</v>
      </c>
      <c r="AD167" s="49">
        <f>AC167-AB167</f>
        <v>0</v>
      </c>
    </row>
    <row r="168" spans="1:30" ht="15" customHeight="1" x14ac:dyDescent="0.25">
      <c r="A168" s="349" t="s">
        <v>195</v>
      </c>
      <c r="B168" s="350"/>
      <c r="C168" s="18" t="s">
        <v>235</v>
      </c>
      <c r="D168" s="73"/>
      <c r="E168" s="73"/>
      <c r="F168" s="217">
        <f>F157+F139</f>
        <v>198582</v>
      </c>
      <c r="G168" s="110">
        <f>G157+G139</f>
        <v>0</v>
      </c>
      <c r="H168" s="266">
        <f>H157+H139</f>
        <v>0</v>
      </c>
      <c r="I168" s="92">
        <f>I157+I139</f>
        <v>198582</v>
      </c>
      <c r="J168" s="19">
        <f>J157+J139</f>
        <v>0</v>
      </c>
      <c r="K168" s="19"/>
      <c r="L168" s="42">
        <f t="shared" ref="L168:AB168" si="75">L157+L139</f>
        <v>198582</v>
      </c>
      <c r="M168" s="19">
        <f t="shared" si="75"/>
        <v>0</v>
      </c>
      <c r="N168" s="19">
        <f t="shared" si="75"/>
        <v>0</v>
      </c>
      <c r="O168" s="19">
        <f t="shared" si="75"/>
        <v>0</v>
      </c>
      <c r="P168" s="19">
        <f t="shared" si="75"/>
        <v>198582</v>
      </c>
      <c r="Q168" s="42">
        <f t="shared" si="75"/>
        <v>198582</v>
      </c>
      <c r="R168" s="19">
        <f t="shared" si="75"/>
        <v>0</v>
      </c>
      <c r="S168" s="19">
        <f t="shared" si="75"/>
        <v>0</v>
      </c>
      <c r="T168" s="19">
        <f t="shared" si="75"/>
        <v>0</v>
      </c>
      <c r="U168" s="19">
        <f t="shared" si="75"/>
        <v>198582</v>
      </c>
      <c r="V168" s="42">
        <f t="shared" si="75"/>
        <v>198582</v>
      </c>
      <c r="W168" s="19">
        <f t="shared" si="75"/>
        <v>0</v>
      </c>
      <c r="X168" s="19">
        <f t="shared" si="75"/>
        <v>0</v>
      </c>
      <c r="Y168" s="19">
        <f t="shared" si="75"/>
        <v>0</v>
      </c>
      <c r="Z168" s="19">
        <f t="shared" si="75"/>
        <v>198582</v>
      </c>
      <c r="AA168" s="19">
        <f t="shared" si="75"/>
        <v>0</v>
      </c>
      <c r="AB168" s="19">
        <f t="shared" si="75"/>
        <v>0</v>
      </c>
      <c r="AC168" s="208">
        <f>O168+P168-Y168-Z168+AA168</f>
        <v>0</v>
      </c>
      <c r="AD168" s="49"/>
    </row>
    <row r="169" spans="1:30" ht="15" customHeight="1" x14ac:dyDescent="0.25">
      <c r="A169" s="349" t="s">
        <v>194</v>
      </c>
      <c r="B169" s="350"/>
      <c r="C169" s="18">
        <v>310</v>
      </c>
      <c r="D169" s="18"/>
      <c r="E169" s="18"/>
      <c r="F169" s="19">
        <f>F147</f>
        <v>5436855.7999999998</v>
      </c>
      <c r="G169" s="110">
        <f>G147</f>
        <v>0</v>
      </c>
      <c r="H169" s="266">
        <f>H147</f>
        <v>0</v>
      </c>
      <c r="I169" s="92">
        <f>I147</f>
        <v>5436855.7999999998</v>
      </c>
      <c r="J169" s="19">
        <f>J147</f>
        <v>98.23</v>
      </c>
      <c r="K169" s="19"/>
      <c r="L169" s="42">
        <f t="shared" ref="L169:AB169" si="76">L147</f>
        <v>3311487</v>
      </c>
      <c r="M169" s="19">
        <f t="shared" si="76"/>
        <v>2122552.91</v>
      </c>
      <c r="N169" s="19">
        <f t="shared" si="76"/>
        <v>929926.13</v>
      </c>
      <c r="O169" s="19">
        <f t="shared" si="76"/>
        <v>259007.96</v>
      </c>
      <c r="P169" s="19">
        <f t="shared" si="76"/>
        <v>0</v>
      </c>
      <c r="Q169" s="42">
        <f t="shared" si="76"/>
        <v>5436855.7999999998</v>
      </c>
      <c r="R169" s="19">
        <f t="shared" si="76"/>
        <v>2122552.91</v>
      </c>
      <c r="S169" s="19">
        <f t="shared" si="76"/>
        <v>929926.13</v>
      </c>
      <c r="T169" s="19">
        <f t="shared" si="76"/>
        <v>259007.96</v>
      </c>
      <c r="U169" s="19">
        <f t="shared" si="76"/>
        <v>2125368.7999999998</v>
      </c>
      <c r="V169" s="42">
        <f t="shared" si="76"/>
        <v>0</v>
      </c>
      <c r="W169" s="19">
        <f t="shared" si="76"/>
        <v>0</v>
      </c>
      <c r="X169" s="19">
        <f t="shared" si="76"/>
        <v>0</v>
      </c>
      <c r="Y169" s="19">
        <f t="shared" si="76"/>
        <v>0</v>
      </c>
      <c r="Z169" s="19">
        <f t="shared" si="76"/>
        <v>0</v>
      </c>
      <c r="AA169" s="19">
        <f t="shared" si="76"/>
        <v>2125368.7999999998</v>
      </c>
      <c r="AB169" s="19">
        <f t="shared" si="76"/>
        <v>2384376.7599999998</v>
      </c>
      <c r="AC169" s="208">
        <f>O169+P169-Y169-Z169+AA169</f>
        <v>2384376.7599999998</v>
      </c>
      <c r="AD169" s="49"/>
    </row>
    <row r="170" spans="1:30" ht="11.25" customHeight="1" x14ac:dyDescent="0.25">
      <c r="A170" s="341"/>
      <c r="B170" s="342"/>
      <c r="C170" s="147"/>
      <c r="D170" s="148"/>
      <c r="E170" s="148"/>
      <c r="F170" s="149"/>
      <c r="G170" s="150"/>
      <c r="H170" s="268"/>
      <c r="I170" s="152"/>
      <c r="J170" s="152"/>
      <c r="K170" s="152"/>
      <c r="L170" s="153"/>
      <c r="M170" s="152"/>
      <c r="N170" s="152"/>
      <c r="O170" s="152"/>
      <c r="P170" s="152"/>
      <c r="Q170" s="153"/>
      <c r="R170" s="152"/>
      <c r="S170" s="152"/>
      <c r="T170" s="152"/>
      <c r="U170" s="152"/>
      <c r="V170" s="154"/>
      <c r="W170" s="152"/>
      <c r="X170" s="152"/>
      <c r="Y170" s="152"/>
      <c r="Z170" s="152"/>
      <c r="AA170" s="152"/>
      <c r="AB170" s="152"/>
      <c r="AC170" s="208"/>
      <c r="AD170" s="49"/>
    </row>
    <row r="171" spans="1:30" ht="48.75" customHeight="1" x14ac:dyDescent="0.25">
      <c r="A171" s="343" t="s">
        <v>359</v>
      </c>
      <c r="B171" s="344"/>
      <c r="C171" s="22"/>
      <c r="D171" s="75"/>
      <c r="E171" s="75"/>
      <c r="F171" s="45">
        <f>F124+F165</f>
        <v>810297627.44999981</v>
      </c>
      <c r="G171" s="111">
        <f>G124+G165</f>
        <v>1656913.57</v>
      </c>
      <c r="H171" s="269">
        <f>H124+H165</f>
        <v>84960649.819999993</v>
      </c>
      <c r="I171" s="94">
        <f>I124+I165</f>
        <v>723680064.05999994</v>
      </c>
      <c r="J171" s="23">
        <f>J124+J165</f>
        <v>13644.01</v>
      </c>
      <c r="K171" s="23"/>
      <c r="L171" s="45">
        <f t="shared" ref="L171:AC171" si="77">L124+L165</f>
        <v>435751737.06999999</v>
      </c>
      <c r="M171" s="23">
        <f t="shared" si="77"/>
        <v>135094097.72</v>
      </c>
      <c r="N171" s="23">
        <f t="shared" si="77"/>
        <v>221936711.07999998</v>
      </c>
      <c r="O171" s="23">
        <f t="shared" si="77"/>
        <v>34576058.210000001</v>
      </c>
      <c r="P171" s="23">
        <f t="shared" si="77"/>
        <v>265225387.56999999</v>
      </c>
      <c r="Q171" s="45">
        <f t="shared" si="77"/>
        <v>723680064.05999994</v>
      </c>
      <c r="R171" s="23">
        <f t="shared" si="77"/>
        <v>135094097.72</v>
      </c>
      <c r="S171" s="23">
        <f t="shared" si="77"/>
        <v>221936711.07999998</v>
      </c>
      <c r="T171" s="23">
        <f t="shared" si="77"/>
        <v>34576058.210000001</v>
      </c>
      <c r="U171" s="23">
        <f t="shared" si="77"/>
        <v>332073197.04999995</v>
      </c>
      <c r="V171" s="45">
        <f t="shared" si="77"/>
        <v>319556977.36000001</v>
      </c>
      <c r="W171" s="23">
        <f t="shared" si="77"/>
        <v>86118721.290000007</v>
      </c>
      <c r="X171" s="23">
        <f t="shared" si="77"/>
        <v>156712946.14999998</v>
      </c>
      <c r="Y171" s="23">
        <f t="shared" si="77"/>
        <v>22969154.419999998</v>
      </c>
      <c r="Z171" s="23">
        <f t="shared" si="77"/>
        <v>53756155.5</v>
      </c>
      <c r="AA171" s="45">
        <f t="shared" si="77"/>
        <v>54338389.659999996</v>
      </c>
      <c r="AB171" s="45">
        <f t="shared" si="77"/>
        <v>305258093.63999999</v>
      </c>
      <c r="AC171" s="211">
        <f t="shared" si="77"/>
        <v>277414525.51999998</v>
      </c>
      <c r="AD171" s="49">
        <f>AB171-AC171</f>
        <v>27843568.120000005</v>
      </c>
    </row>
    <row r="172" spans="1:30" ht="25.5" customHeight="1" x14ac:dyDescent="0.25">
      <c r="A172" s="339" t="s">
        <v>193</v>
      </c>
      <c r="B172" s="340"/>
      <c r="C172" s="22">
        <v>310</v>
      </c>
      <c r="D172" s="22"/>
      <c r="E172" s="22"/>
      <c r="F172" s="23">
        <f t="shared" ref="F172:I173" si="78">F125</f>
        <v>607200556.86000001</v>
      </c>
      <c r="G172" s="104">
        <f t="shared" si="78"/>
        <v>0</v>
      </c>
      <c r="H172" s="270">
        <f t="shared" si="78"/>
        <v>53558302.990000002</v>
      </c>
      <c r="I172" s="95">
        <f t="shared" si="78"/>
        <v>553642253.87</v>
      </c>
      <c r="J172" s="23">
        <f>J125</f>
        <v>10995.71</v>
      </c>
      <c r="K172" s="23"/>
      <c r="L172" s="45">
        <f t="shared" ref="L172:AB173" si="79">L125</f>
        <v>320052316.54000002</v>
      </c>
      <c r="M172" s="23">
        <f t="shared" si="79"/>
        <v>81504163.859999999</v>
      </c>
      <c r="N172" s="23">
        <f t="shared" si="79"/>
        <v>197031928.03999996</v>
      </c>
      <c r="O172" s="23">
        <f t="shared" si="79"/>
        <v>23635125.109999999</v>
      </c>
      <c r="P172" s="23">
        <f t="shared" si="79"/>
        <v>238961617.04000002</v>
      </c>
      <c r="Q172" s="45">
        <f t="shared" si="79"/>
        <v>553642253.86999989</v>
      </c>
      <c r="R172" s="23">
        <f t="shared" si="79"/>
        <v>81504163.859999999</v>
      </c>
      <c r="S172" s="23">
        <f t="shared" si="79"/>
        <v>197031928.03999996</v>
      </c>
      <c r="T172" s="23">
        <f t="shared" si="79"/>
        <v>23635125.109999999</v>
      </c>
      <c r="U172" s="23">
        <f t="shared" si="79"/>
        <v>251471036.86000001</v>
      </c>
      <c r="V172" s="45">
        <f t="shared" si="79"/>
        <v>265808103.26000002</v>
      </c>
      <c r="W172" s="23">
        <f t="shared" si="79"/>
        <v>59711738.090000011</v>
      </c>
      <c r="X172" s="23">
        <f t="shared" si="79"/>
        <v>144355724.03999999</v>
      </c>
      <c r="Y172" s="23">
        <f t="shared" si="79"/>
        <v>17315134.079999998</v>
      </c>
      <c r="Z172" s="23">
        <f t="shared" si="79"/>
        <v>44425507.049999997</v>
      </c>
      <c r="AA172" s="45">
        <f t="shared" si="79"/>
        <v>0</v>
      </c>
      <c r="AB172" s="45">
        <f t="shared" si="79"/>
        <v>229298258.13999999</v>
      </c>
      <c r="AC172" s="212"/>
    </row>
    <row r="173" spans="1:30" ht="25.5" customHeight="1" x14ac:dyDescent="0.25">
      <c r="A173" s="339" t="s">
        <v>193</v>
      </c>
      <c r="B173" s="340"/>
      <c r="C173" s="59">
        <v>226</v>
      </c>
      <c r="D173" s="22"/>
      <c r="E173" s="22"/>
      <c r="F173" s="23">
        <f t="shared" si="78"/>
        <v>45093114.710000001</v>
      </c>
      <c r="G173" s="104">
        <f t="shared" si="78"/>
        <v>1656913.57</v>
      </c>
      <c r="H173" s="270">
        <f t="shared" si="78"/>
        <v>27322953.620000005</v>
      </c>
      <c r="I173" s="95">
        <f t="shared" si="78"/>
        <v>16113247.520000001</v>
      </c>
      <c r="J173" s="23"/>
      <c r="K173" s="23"/>
      <c r="L173" s="45">
        <f t="shared" si="79"/>
        <v>16113247.520000001</v>
      </c>
      <c r="M173" s="23">
        <f t="shared" si="79"/>
        <v>0</v>
      </c>
      <c r="N173" s="23">
        <f t="shared" si="79"/>
        <v>0</v>
      </c>
      <c r="O173" s="23">
        <f t="shared" si="79"/>
        <v>0</v>
      </c>
      <c r="P173" s="23">
        <f t="shared" si="79"/>
        <v>16113247.520000001</v>
      </c>
      <c r="Q173" s="45">
        <f t="shared" si="79"/>
        <v>16113247.520000001</v>
      </c>
      <c r="R173" s="23">
        <f t="shared" si="79"/>
        <v>0</v>
      </c>
      <c r="S173" s="23">
        <f t="shared" si="79"/>
        <v>0</v>
      </c>
      <c r="T173" s="23">
        <f t="shared" si="79"/>
        <v>0</v>
      </c>
      <c r="U173" s="23">
        <f t="shared" si="79"/>
        <v>16113247.520000001</v>
      </c>
      <c r="V173" s="45">
        <f t="shared" si="79"/>
        <v>3589031.1199999996</v>
      </c>
      <c r="W173" s="23">
        <f t="shared" si="79"/>
        <v>0</v>
      </c>
      <c r="X173" s="23">
        <f t="shared" si="79"/>
        <v>0</v>
      </c>
      <c r="Y173" s="23">
        <f t="shared" si="79"/>
        <v>0</v>
      </c>
      <c r="Z173" s="23">
        <f t="shared" si="79"/>
        <v>3589031.1199999996</v>
      </c>
      <c r="AA173" s="45">
        <f t="shared" si="79"/>
        <v>0</v>
      </c>
      <c r="AB173" s="45">
        <f t="shared" si="79"/>
        <v>11925627.400000002</v>
      </c>
      <c r="AC173" s="212"/>
    </row>
    <row r="174" spans="1:30" ht="25.5" customHeight="1" x14ac:dyDescent="0.25">
      <c r="A174" s="339" t="s">
        <v>195</v>
      </c>
      <c r="B174" s="340"/>
      <c r="C174" s="22">
        <v>310</v>
      </c>
      <c r="D174" s="22"/>
      <c r="E174" s="22"/>
      <c r="F174" s="23">
        <f t="shared" ref="F174:I176" si="80">F166</f>
        <v>131329506.49000001</v>
      </c>
      <c r="G174" s="104">
        <f t="shared" si="80"/>
        <v>0</v>
      </c>
      <c r="H174" s="270">
        <f t="shared" si="80"/>
        <v>0</v>
      </c>
      <c r="I174" s="95">
        <f t="shared" si="80"/>
        <v>131329506.49000001</v>
      </c>
      <c r="J174" s="23">
        <f>J166</f>
        <v>2383.25</v>
      </c>
      <c r="K174" s="23"/>
      <c r="L174" s="45">
        <f t="shared" ref="L174:AB176" si="81">L166</f>
        <v>80401010</v>
      </c>
      <c r="M174" s="23">
        <f t="shared" si="81"/>
        <v>47799030.420000002</v>
      </c>
      <c r="N174" s="23">
        <f t="shared" si="81"/>
        <v>22367690.850000001</v>
      </c>
      <c r="O174" s="23">
        <f t="shared" si="81"/>
        <v>10234288.73</v>
      </c>
      <c r="P174" s="23">
        <f t="shared" si="81"/>
        <v>0</v>
      </c>
      <c r="Q174" s="45">
        <f t="shared" si="81"/>
        <v>131329506.48999999</v>
      </c>
      <c r="R174" s="23">
        <f t="shared" si="81"/>
        <v>47799030.420000002</v>
      </c>
      <c r="S174" s="23">
        <f t="shared" si="81"/>
        <v>22367690.850000001</v>
      </c>
      <c r="T174" s="23">
        <f t="shared" si="81"/>
        <v>10234288.73</v>
      </c>
      <c r="U174" s="23">
        <f t="shared" si="81"/>
        <v>50928496.489999995</v>
      </c>
      <c r="V174" s="45">
        <f t="shared" si="81"/>
        <v>44418225.649999999</v>
      </c>
      <c r="W174" s="23">
        <f t="shared" si="81"/>
        <v>26406983.199999999</v>
      </c>
      <c r="X174" s="23">
        <f t="shared" si="81"/>
        <v>12357222.109999999</v>
      </c>
      <c r="Y174" s="23">
        <f t="shared" si="81"/>
        <v>5654020.3399999999</v>
      </c>
      <c r="Z174" s="23">
        <f t="shared" si="81"/>
        <v>0</v>
      </c>
      <c r="AA174" s="45">
        <f t="shared" si="81"/>
        <v>50928496.489999995</v>
      </c>
      <c r="AB174" s="45">
        <f t="shared" si="81"/>
        <v>55508764.879999995</v>
      </c>
      <c r="AC174" s="212"/>
    </row>
    <row r="175" spans="1:30" ht="25.5" customHeight="1" x14ac:dyDescent="0.25">
      <c r="A175" s="339" t="s">
        <v>195</v>
      </c>
      <c r="B175" s="340"/>
      <c r="C175" s="59" t="s">
        <v>236</v>
      </c>
      <c r="D175" s="22"/>
      <c r="E175" s="22"/>
      <c r="F175" s="23">
        <f>F167</f>
        <v>12831463.459999999</v>
      </c>
      <c r="G175" s="104">
        <f t="shared" si="80"/>
        <v>0</v>
      </c>
      <c r="H175" s="270">
        <f t="shared" si="80"/>
        <v>4079393.2099999995</v>
      </c>
      <c r="I175" s="95">
        <f t="shared" si="80"/>
        <v>8752070.25</v>
      </c>
      <c r="J175" s="23"/>
      <c r="K175" s="23"/>
      <c r="L175" s="45">
        <f t="shared" si="81"/>
        <v>8752070.25</v>
      </c>
      <c r="M175" s="23">
        <f t="shared" si="81"/>
        <v>0</v>
      </c>
      <c r="N175" s="23">
        <f t="shared" si="81"/>
        <v>0</v>
      </c>
      <c r="O175" s="23">
        <f t="shared" si="81"/>
        <v>0</v>
      </c>
      <c r="P175" s="23">
        <f t="shared" si="81"/>
        <v>8752070.25</v>
      </c>
      <c r="Q175" s="45">
        <f t="shared" si="81"/>
        <v>8752070.25</v>
      </c>
      <c r="R175" s="23">
        <f t="shared" si="81"/>
        <v>0</v>
      </c>
      <c r="S175" s="23">
        <f t="shared" si="81"/>
        <v>0</v>
      </c>
      <c r="T175" s="23">
        <f t="shared" si="81"/>
        <v>0</v>
      </c>
      <c r="U175" s="23">
        <f t="shared" si="81"/>
        <v>8752070.25</v>
      </c>
      <c r="V175" s="45">
        <f t="shared" si="81"/>
        <v>5543035.3300000001</v>
      </c>
      <c r="W175" s="23">
        <f t="shared" si="81"/>
        <v>0</v>
      </c>
      <c r="X175" s="23">
        <f t="shared" si="81"/>
        <v>0</v>
      </c>
      <c r="Y175" s="23">
        <f t="shared" si="81"/>
        <v>0</v>
      </c>
      <c r="Z175" s="23">
        <f t="shared" si="81"/>
        <v>5543035.3300000001</v>
      </c>
      <c r="AA175" s="45">
        <f t="shared" si="81"/>
        <v>0</v>
      </c>
      <c r="AB175" s="45">
        <f t="shared" si="81"/>
        <v>3209034.92</v>
      </c>
      <c r="AC175" s="212"/>
    </row>
    <row r="176" spans="1:30" ht="25.5" customHeight="1" x14ac:dyDescent="0.25">
      <c r="A176" s="339" t="s">
        <v>195</v>
      </c>
      <c r="B176" s="340"/>
      <c r="C176" s="59" t="s">
        <v>235</v>
      </c>
      <c r="D176" s="22"/>
      <c r="E176" s="22"/>
      <c r="F176" s="23">
        <f t="shared" si="80"/>
        <v>198582</v>
      </c>
      <c r="G176" s="104">
        <f t="shared" si="80"/>
        <v>0</v>
      </c>
      <c r="H176" s="270">
        <f t="shared" si="80"/>
        <v>0</v>
      </c>
      <c r="I176" s="95">
        <f t="shared" si="80"/>
        <v>198582</v>
      </c>
      <c r="J176" s="23"/>
      <c r="K176" s="23"/>
      <c r="L176" s="45">
        <f t="shared" si="81"/>
        <v>198582</v>
      </c>
      <c r="M176" s="23">
        <f t="shared" si="81"/>
        <v>0</v>
      </c>
      <c r="N176" s="23">
        <f t="shared" si="81"/>
        <v>0</v>
      </c>
      <c r="O176" s="23">
        <f t="shared" si="81"/>
        <v>0</v>
      </c>
      <c r="P176" s="23">
        <f t="shared" si="81"/>
        <v>198582</v>
      </c>
      <c r="Q176" s="45">
        <f t="shared" si="81"/>
        <v>198582</v>
      </c>
      <c r="R176" s="23">
        <f t="shared" si="81"/>
        <v>0</v>
      </c>
      <c r="S176" s="23">
        <f t="shared" si="81"/>
        <v>0</v>
      </c>
      <c r="T176" s="23">
        <f t="shared" si="81"/>
        <v>0</v>
      </c>
      <c r="U176" s="23">
        <f t="shared" si="81"/>
        <v>198582</v>
      </c>
      <c r="V176" s="45">
        <f t="shared" si="81"/>
        <v>198582</v>
      </c>
      <c r="W176" s="23">
        <f t="shared" si="81"/>
        <v>0</v>
      </c>
      <c r="X176" s="23">
        <f t="shared" si="81"/>
        <v>0</v>
      </c>
      <c r="Y176" s="23">
        <f t="shared" si="81"/>
        <v>0</v>
      </c>
      <c r="Z176" s="23">
        <f t="shared" si="81"/>
        <v>198582</v>
      </c>
      <c r="AA176" s="45">
        <f t="shared" si="81"/>
        <v>0</v>
      </c>
      <c r="AB176" s="45">
        <f t="shared" si="81"/>
        <v>0</v>
      </c>
      <c r="AC176" s="212"/>
    </row>
    <row r="177" spans="1:30" s="120" customFormat="1" ht="16.5" customHeight="1" x14ac:dyDescent="0.25">
      <c r="A177" s="339" t="s">
        <v>194</v>
      </c>
      <c r="B177" s="340"/>
      <c r="C177" s="59">
        <v>310</v>
      </c>
      <c r="D177" s="118"/>
      <c r="E177" s="118"/>
      <c r="F177" s="58">
        <f>F127+F169</f>
        <v>13644403.93</v>
      </c>
      <c r="G177" s="103">
        <f>G127+G169</f>
        <v>0</v>
      </c>
      <c r="H177" s="271">
        <f>H127+H169</f>
        <v>0</v>
      </c>
      <c r="I177" s="95">
        <f>I127+I169</f>
        <v>13644403.93</v>
      </c>
      <c r="J177" s="58">
        <f>J127+J169</f>
        <v>265.05</v>
      </c>
      <c r="K177" s="118"/>
      <c r="L177" s="45">
        <f t="shared" ref="L177:AC177" si="82">L127+L169</f>
        <v>10234510.76</v>
      </c>
      <c r="M177" s="23">
        <f t="shared" si="82"/>
        <v>5790903.4399999995</v>
      </c>
      <c r="N177" s="23">
        <f t="shared" si="82"/>
        <v>2537092.19</v>
      </c>
      <c r="O177" s="23">
        <f t="shared" si="82"/>
        <v>706644.37</v>
      </c>
      <c r="P177" s="23">
        <f t="shared" si="82"/>
        <v>1199870.76</v>
      </c>
      <c r="Q177" s="58">
        <f t="shared" si="82"/>
        <v>13644403.93</v>
      </c>
      <c r="R177" s="58">
        <f t="shared" si="82"/>
        <v>5790903.4399999995</v>
      </c>
      <c r="S177" s="58">
        <f t="shared" si="82"/>
        <v>2537092.19</v>
      </c>
      <c r="T177" s="58">
        <f t="shared" si="82"/>
        <v>706644.37</v>
      </c>
      <c r="U177" s="58">
        <f t="shared" si="82"/>
        <v>4609763.93</v>
      </c>
      <c r="V177" s="58">
        <f t="shared" si="82"/>
        <v>0</v>
      </c>
      <c r="W177" s="58">
        <f t="shared" si="82"/>
        <v>0</v>
      </c>
      <c r="X177" s="58">
        <f t="shared" si="82"/>
        <v>0</v>
      </c>
      <c r="Y177" s="58">
        <f t="shared" si="82"/>
        <v>0</v>
      </c>
      <c r="Z177" s="58">
        <f t="shared" si="82"/>
        <v>0</v>
      </c>
      <c r="AA177" s="57">
        <f t="shared" si="82"/>
        <v>3409893.17</v>
      </c>
      <c r="AB177" s="57">
        <f t="shared" si="82"/>
        <v>5316408.3</v>
      </c>
      <c r="AC177" s="213">
        <f t="shared" si="82"/>
        <v>5316408.3</v>
      </c>
    </row>
    <row r="178" spans="1:30" ht="7.5" customHeight="1" x14ac:dyDescent="0.25">
      <c r="A178" s="341"/>
      <c r="B178" s="342"/>
      <c r="C178" s="147"/>
      <c r="D178" s="148"/>
      <c r="E178" s="148"/>
      <c r="F178" s="149"/>
      <c r="G178" s="150"/>
      <c r="H178" s="268"/>
      <c r="I178" s="152"/>
      <c r="J178" s="152"/>
      <c r="K178" s="152"/>
      <c r="L178" s="153"/>
      <c r="M178" s="152"/>
      <c r="N178" s="152"/>
      <c r="O178" s="152"/>
      <c r="P178" s="152"/>
      <c r="Q178" s="153"/>
      <c r="R178" s="152"/>
      <c r="S178" s="152"/>
      <c r="T178" s="152"/>
      <c r="U178" s="152"/>
      <c r="V178" s="154"/>
      <c r="W178" s="152"/>
      <c r="X178" s="152"/>
      <c r="Y178" s="152"/>
      <c r="Z178" s="152"/>
      <c r="AA178" s="152"/>
      <c r="AB178" s="152"/>
      <c r="AC178" s="208"/>
      <c r="AD178" s="49"/>
    </row>
    <row r="179" spans="1:30" x14ac:dyDescent="0.25">
      <c r="A179" s="343" t="s">
        <v>245</v>
      </c>
      <c r="B179" s="344"/>
      <c r="C179" s="34"/>
      <c r="D179" s="34"/>
      <c r="E179" s="34"/>
      <c r="F179" s="7">
        <f>SUM(F180:F182)</f>
        <v>810297627.45000005</v>
      </c>
      <c r="G179" s="98">
        <f>SUM(G180:G182)</f>
        <v>1656913.57</v>
      </c>
      <c r="H179" s="253">
        <f>SUM(H180:H182)</f>
        <v>84960649.820000008</v>
      </c>
      <c r="I179" s="7">
        <f>SUM(I180:I182)</f>
        <v>723680064.05999994</v>
      </c>
      <c r="J179" s="7"/>
      <c r="K179" s="7"/>
      <c r="L179" s="7">
        <f t="shared" ref="L179:AB179" si="83">SUM(L180:L182)</f>
        <v>435751737.06999999</v>
      </c>
      <c r="M179" s="7">
        <f t="shared" si="83"/>
        <v>135094097.72</v>
      </c>
      <c r="N179" s="7">
        <f t="shared" si="83"/>
        <v>221936711.07999995</v>
      </c>
      <c r="O179" s="7">
        <f t="shared" si="83"/>
        <v>34576058.210000001</v>
      </c>
      <c r="P179" s="7">
        <f t="shared" si="83"/>
        <v>265225387.57000002</v>
      </c>
      <c r="Q179" s="7">
        <f t="shared" si="83"/>
        <v>723680064.05999982</v>
      </c>
      <c r="R179" s="7">
        <f t="shared" si="83"/>
        <v>135094097.72</v>
      </c>
      <c r="S179" s="7">
        <f t="shared" si="83"/>
        <v>221936711.07999995</v>
      </c>
      <c r="T179" s="7">
        <f t="shared" si="83"/>
        <v>34576058.210000001</v>
      </c>
      <c r="U179" s="7">
        <f t="shared" si="83"/>
        <v>332073197.05000001</v>
      </c>
      <c r="V179" s="7">
        <f t="shared" si="83"/>
        <v>319556977.36000001</v>
      </c>
      <c r="W179" s="7">
        <f t="shared" si="83"/>
        <v>86118721.290000007</v>
      </c>
      <c r="X179" s="7">
        <f t="shared" si="83"/>
        <v>156712946.14999998</v>
      </c>
      <c r="Y179" s="7">
        <f t="shared" si="83"/>
        <v>22969154.419999998</v>
      </c>
      <c r="Z179" s="7">
        <f t="shared" si="83"/>
        <v>53756155.499999993</v>
      </c>
      <c r="AA179" s="7">
        <f t="shared" si="83"/>
        <v>54338389.659999996</v>
      </c>
      <c r="AB179" s="7">
        <f t="shared" si="83"/>
        <v>305258093.63999999</v>
      </c>
    </row>
    <row r="180" spans="1:30" x14ac:dyDescent="0.25">
      <c r="A180" s="343" t="s">
        <v>193</v>
      </c>
      <c r="B180" s="344"/>
      <c r="C180" s="34"/>
      <c r="D180" s="34"/>
      <c r="E180" s="34"/>
      <c r="F180" s="7">
        <f>F172+F173</f>
        <v>652293671.57000005</v>
      </c>
      <c r="G180" s="98">
        <f>G172+G173</f>
        <v>1656913.57</v>
      </c>
      <c r="H180" s="253">
        <f>H172+H173</f>
        <v>80881256.610000014</v>
      </c>
      <c r="I180" s="7">
        <f>I172+I173</f>
        <v>569755501.38999999</v>
      </c>
      <c r="J180" s="7"/>
      <c r="K180" s="7"/>
      <c r="L180" s="7">
        <f t="shared" ref="L180:AB180" si="84">L172+L173</f>
        <v>336165564.06</v>
      </c>
      <c r="M180" s="7">
        <f t="shared" si="84"/>
        <v>81504163.859999999</v>
      </c>
      <c r="N180" s="7">
        <f t="shared" si="84"/>
        <v>197031928.03999996</v>
      </c>
      <c r="O180" s="7">
        <f t="shared" si="84"/>
        <v>23635125.109999999</v>
      </c>
      <c r="P180" s="7">
        <f t="shared" si="84"/>
        <v>255074864.56000003</v>
      </c>
      <c r="Q180" s="7">
        <f t="shared" si="84"/>
        <v>569755501.38999987</v>
      </c>
      <c r="R180" s="7">
        <f t="shared" si="84"/>
        <v>81504163.859999999</v>
      </c>
      <c r="S180" s="7">
        <f t="shared" si="84"/>
        <v>197031928.03999996</v>
      </c>
      <c r="T180" s="7">
        <f t="shared" si="84"/>
        <v>23635125.109999999</v>
      </c>
      <c r="U180" s="7">
        <f t="shared" si="84"/>
        <v>267584284.38000003</v>
      </c>
      <c r="V180" s="7">
        <f t="shared" si="84"/>
        <v>269397134.38</v>
      </c>
      <c r="W180" s="7">
        <f t="shared" si="84"/>
        <v>59711738.090000011</v>
      </c>
      <c r="X180" s="7">
        <f t="shared" si="84"/>
        <v>144355724.03999999</v>
      </c>
      <c r="Y180" s="7">
        <f t="shared" si="84"/>
        <v>17315134.079999998</v>
      </c>
      <c r="Z180" s="7">
        <f t="shared" si="84"/>
        <v>48014538.169999994</v>
      </c>
      <c r="AA180" s="7">
        <f t="shared" si="84"/>
        <v>0</v>
      </c>
      <c r="AB180" s="7">
        <f t="shared" si="84"/>
        <v>241223885.53999999</v>
      </c>
    </row>
    <row r="181" spans="1:30" x14ac:dyDescent="0.25">
      <c r="A181" s="343" t="s">
        <v>195</v>
      </c>
      <c r="B181" s="344"/>
      <c r="C181" s="34"/>
      <c r="D181" s="34"/>
      <c r="E181" s="34"/>
      <c r="F181" s="7">
        <f>F174+F175+F176</f>
        <v>144359551.95000002</v>
      </c>
      <c r="G181" s="98">
        <f>G174+G175+G176</f>
        <v>0</v>
      </c>
      <c r="H181" s="253">
        <f>H174+H175+H176</f>
        <v>4079393.2099999995</v>
      </c>
      <c r="I181" s="7">
        <f>I174+I175+I176</f>
        <v>140280158.74000001</v>
      </c>
      <c r="J181" s="7"/>
      <c r="K181" s="7"/>
      <c r="L181" s="7">
        <f t="shared" ref="L181:AB181" si="85">L174+L175+L176</f>
        <v>89351662.25</v>
      </c>
      <c r="M181" s="7">
        <f t="shared" si="85"/>
        <v>47799030.420000002</v>
      </c>
      <c r="N181" s="7">
        <f t="shared" si="85"/>
        <v>22367690.850000001</v>
      </c>
      <c r="O181" s="7">
        <f t="shared" si="85"/>
        <v>10234288.73</v>
      </c>
      <c r="P181" s="7">
        <f t="shared" si="85"/>
        <v>8950652.25</v>
      </c>
      <c r="Q181" s="7">
        <f t="shared" si="85"/>
        <v>140280158.74000001</v>
      </c>
      <c r="R181" s="7">
        <f t="shared" si="85"/>
        <v>47799030.420000002</v>
      </c>
      <c r="S181" s="7">
        <f t="shared" si="85"/>
        <v>22367690.850000001</v>
      </c>
      <c r="T181" s="7">
        <f t="shared" si="85"/>
        <v>10234288.73</v>
      </c>
      <c r="U181" s="7">
        <f t="shared" si="85"/>
        <v>59879148.739999995</v>
      </c>
      <c r="V181" s="7">
        <f t="shared" si="85"/>
        <v>50159842.979999997</v>
      </c>
      <c r="W181" s="7">
        <f t="shared" si="85"/>
        <v>26406983.199999999</v>
      </c>
      <c r="X181" s="7">
        <f t="shared" si="85"/>
        <v>12357222.109999999</v>
      </c>
      <c r="Y181" s="7">
        <f t="shared" si="85"/>
        <v>5654020.3399999999</v>
      </c>
      <c r="Z181" s="7">
        <f t="shared" si="85"/>
        <v>5741617.3300000001</v>
      </c>
      <c r="AA181" s="7">
        <f t="shared" si="85"/>
        <v>50928496.489999995</v>
      </c>
      <c r="AB181" s="7">
        <f t="shared" si="85"/>
        <v>58717799.799999997</v>
      </c>
    </row>
    <row r="182" spans="1:30" x14ac:dyDescent="0.25">
      <c r="A182" s="343" t="s">
        <v>246</v>
      </c>
      <c r="B182" s="344"/>
      <c r="C182" s="34"/>
      <c r="D182" s="34"/>
      <c r="E182" s="34"/>
      <c r="F182" s="7">
        <f>F177</f>
        <v>13644403.93</v>
      </c>
      <c r="G182" s="98">
        <f>G177</f>
        <v>0</v>
      </c>
      <c r="H182" s="253">
        <f>H177</f>
        <v>0</v>
      </c>
      <c r="I182" s="7">
        <f>I177</f>
        <v>13644403.93</v>
      </c>
      <c r="J182" s="7"/>
      <c r="K182" s="7"/>
      <c r="L182" s="7">
        <f t="shared" ref="L182:AB182" si="86">L177</f>
        <v>10234510.76</v>
      </c>
      <c r="M182" s="7">
        <f t="shared" si="86"/>
        <v>5790903.4399999995</v>
      </c>
      <c r="N182" s="7">
        <f t="shared" si="86"/>
        <v>2537092.19</v>
      </c>
      <c r="O182" s="7">
        <f t="shared" si="86"/>
        <v>706644.37</v>
      </c>
      <c r="P182" s="7">
        <f t="shared" si="86"/>
        <v>1199870.76</v>
      </c>
      <c r="Q182" s="7">
        <f t="shared" si="86"/>
        <v>13644403.93</v>
      </c>
      <c r="R182" s="7">
        <f t="shared" si="86"/>
        <v>5790903.4399999995</v>
      </c>
      <c r="S182" s="7">
        <f t="shared" si="86"/>
        <v>2537092.19</v>
      </c>
      <c r="T182" s="7">
        <f t="shared" si="86"/>
        <v>706644.37</v>
      </c>
      <c r="U182" s="7">
        <f t="shared" si="86"/>
        <v>4609763.93</v>
      </c>
      <c r="V182" s="7">
        <f t="shared" si="86"/>
        <v>0</v>
      </c>
      <c r="W182" s="7">
        <f t="shared" si="86"/>
        <v>0</v>
      </c>
      <c r="X182" s="7">
        <f t="shared" si="86"/>
        <v>0</v>
      </c>
      <c r="Y182" s="7">
        <f t="shared" si="86"/>
        <v>0</v>
      </c>
      <c r="Z182" s="7">
        <f t="shared" si="86"/>
        <v>0</v>
      </c>
      <c r="AA182" s="7">
        <f t="shared" si="86"/>
        <v>3409893.17</v>
      </c>
      <c r="AB182" s="7">
        <f t="shared" si="86"/>
        <v>5316408.3</v>
      </c>
    </row>
    <row r="183" spans="1:30" ht="10.5" customHeight="1" x14ac:dyDescent="0.25">
      <c r="A183" s="231"/>
      <c r="B183" s="232"/>
      <c r="C183" s="233"/>
      <c r="D183" s="233"/>
      <c r="E183" s="234"/>
      <c r="F183" s="235"/>
      <c r="G183" s="247"/>
      <c r="H183" s="272"/>
      <c r="I183" s="235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</row>
    <row r="184" spans="1:30" ht="24.75" customHeight="1" x14ac:dyDescent="0.25">
      <c r="A184" s="337" t="s">
        <v>357</v>
      </c>
      <c r="B184" s="338"/>
      <c r="C184" s="12"/>
      <c r="D184" s="51"/>
      <c r="E184" s="200"/>
      <c r="F184" s="52"/>
      <c r="G184" s="99"/>
      <c r="H184" s="264"/>
      <c r="I184" s="90"/>
      <c r="J184" s="53"/>
      <c r="K184" s="53"/>
      <c r="L184" s="227">
        <f>SUM(L185:L188)</f>
        <v>567120681.47000003</v>
      </c>
      <c r="M184" s="227">
        <f>SUM(M185:M188)</f>
        <v>82216230.189999998</v>
      </c>
      <c r="N184" s="227">
        <f>SUM(N185:N188)</f>
        <v>198753355.68000001</v>
      </c>
      <c r="O184" s="227">
        <f>SUM(O185:O188)</f>
        <v>28670443.100000001</v>
      </c>
      <c r="P184" s="227">
        <f>SUM(P185:P188)</f>
        <v>257480652.50000003</v>
      </c>
      <c r="Q184" s="54"/>
      <c r="R184" s="53"/>
      <c r="S184" s="53"/>
      <c r="T184" s="53"/>
      <c r="U184" s="55"/>
      <c r="V184" s="54"/>
      <c r="W184" s="53"/>
      <c r="X184" s="53"/>
      <c r="Y184" s="53"/>
      <c r="Z184" s="53"/>
      <c r="AA184" s="159"/>
      <c r="AB184" s="53"/>
    </row>
    <row r="185" spans="1:30" ht="37.5" customHeight="1" x14ac:dyDescent="0.25">
      <c r="A185" s="335" t="s">
        <v>360</v>
      </c>
      <c r="B185" s="336"/>
      <c r="C185" s="12">
        <v>310</v>
      </c>
      <c r="D185" s="197" t="s">
        <v>328</v>
      </c>
      <c r="E185" s="200"/>
      <c r="F185" s="197" t="s">
        <v>328</v>
      </c>
      <c r="G185" s="248" t="s">
        <v>328</v>
      </c>
      <c r="H185" s="273" t="s">
        <v>328</v>
      </c>
      <c r="I185" s="251" t="s">
        <v>328</v>
      </c>
      <c r="J185" s="197" t="s">
        <v>328</v>
      </c>
      <c r="K185" s="197" t="s">
        <v>328</v>
      </c>
      <c r="L185" s="227">
        <f>SUM(M185:P185)</f>
        <v>541132834.04999995</v>
      </c>
      <c r="M185" s="228">
        <f>M8+M28+M43+M58+M73+M89+M106</f>
        <v>81504163.859999999</v>
      </c>
      <c r="N185" s="228">
        <f>N8+N28+N43+N58+N73+N89+N106</f>
        <v>197031928.03999996</v>
      </c>
      <c r="O185" s="228">
        <f>O8+O28+O43+O58+O73+O89+O106</f>
        <v>23635125.109999999</v>
      </c>
      <c r="P185" s="228">
        <f>P8+P28+P43+P58+P73+P89+P106</f>
        <v>238961617.04000002</v>
      </c>
      <c r="Q185" s="197" t="s">
        <v>328</v>
      </c>
      <c r="R185" s="197" t="s">
        <v>328</v>
      </c>
      <c r="S185" s="197" t="s">
        <v>328</v>
      </c>
      <c r="T185" s="197" t="s">
        <v>328</v>
      </c>
      <c r="U185" s="197" t="s">
        <v>328</v>
      </c>
      <c r="V185" s="197" t="s">
        <v>328</v>
      </c>
      <c r="W185" s="197" t="s">
        <v>328</v>
      </c>
      <c r="X185" s="197" t="s">
        <v>328</v>
      </c>
      <c r="Y185" s="197" t="s">
        <v>328</v>
      </c>
      <c r="Z185" s="197" t="s">
        <v>328</v>
      </c>
      <c r="AA185" s="197" t="s">
        <v>328</v>
      </c>
      <c r="AB185" s="197" t="s">
        <v>328</v>
      </c>
    </row>
    <row r="186" spans="1:30" ht="32.25" customHeight="1" x14ac:dyDescent="0.25">
      <c r="A186" s="335" t="s">
        <v>361</v>
      </c>
      <c r="B186" s="336"/>
      <c r="C186" s="12">
        <v>310</v>
      </c>
      <c r="D186" s="197" t="s">
        <v>328</v>
      </c>
      <c r="E186" s="200"/>
      <c r="F186" s="197" t="s">
        <v>328</v>
      </c>
      <c r="G186" s="248" t="s">
        <v>328</v>
      </c>
      <c r="H186" s="273" t="s">
        <v>328</v>
      </c>
      <c r="I186" s="251" t="s">
        <v>328</v>
      </c>
      <c r="J186" s="197" t="s">
        <v>328</v>
      </c>
      <c r="K186" s="197" t="s">
        <v>328</v>
      </c>
      <c r="L186" s="227">
        <f>SUM(M186:P186)</f>
        <v>7468811.9600000456</v>
      </c>
      <c r="M186" s="228">
        <f>82216230.19-M185</f>
        <v>712066.32999999821</v>
      </c>
      <c r="N186" s="228">
        <f>198753355.68-N185</f>
        <v>1721427.6400000453</v>
      </c>
      <c r="O186" s="228">
        <f>28670443.1-O185</f>
        <v>5035317.9900000021</v>
      </c>
      <c r="P186" s="228">
        <f>238961617.04-P185</f>
        <v>0</v>
      </c>
      <c r="Q186" s="197" t="s">
        <v>328</v>
      </c>
      <c r="R186" s="197" t="s">
        <v>328</v>
      </c>
      <c r="S186" s="197" t="s">
        <v>328</v>
      </c>
      <c r="T186" s="197" t="s">
        <v>328</v>
      </c>
      <c r="U186" s="197" t="s">
        <v>328</v>
      </c>
      <c r="V186" s="197" t="s">
        <v>328</v>
      </c>
      <c r="W186" s="197" t="s">
        <v>328</v>
      </c>
      <c r="X186" s="197" t="s">
        <v>328</v>
      </c>
      <c r="Y186" s="197" t="s">
        <v>328</v>
      </c>
      <c r="Z186" s="197" t="s">
        <v>328</v>
      </c>
      <c r="AA186" s="197" t="s">
        <v>328</v>
      </c>
      <c r="AB186" s="197" t="s">
        <v>328</v>
      </c>
    </row>
    <row r="187" spans="1:30" ht="21" customHeight="1" x14ac:dyDescent="0.25">
      <c r="A187" s="335" t="s">
        <v>360</v>
      </c>
      <c r="B187" s="336"/>
      <c r="C187" s="12">
        <v>226</v>
      </c>
      <c r="D187" s="197" t="s">
        <v>328</v>
      </c>
      <c r="E187" s="200"/>
      <c r="F187" s="197" t="s">
        <v>328</v>
      </c>
      <c r="G187" s="248" t="s">
        <v>328</v>
      </c>
      <c r="H187" s="273" t="s">
        <v>328</v>
      </c>
      <c r="I187" s="251" t="s">
        <v>328</v>
      </c>
      <c r="J187" s="197" t="s">
        <v>328</v>
      </c>
      <c r="K187" s="197" t="s">
        <v>328</v>
      </c>
      <c r="L187" s="227">
        <f>SUM(M187:P187)</f>
        <v>16113247.520000001</v>
      </c>
      <c r="M187" s="228">
        <v>0</v>
      </c>
      <c r="N187" s="228">
        <v>0</v>
      </c>
      <c r="O187" s="228">
        <v>0</v>
      </c>
      <c r="P187" s="228">
        <f>SUM(P9:P26,P29:P40,P45:P56,P59:P71,P74:P86,P91:P103,P108:P120)</f>
        <v>16113247.520000001</v>
      </c>
      <c r="Q187" s="197" t="s">
        <v>328</v>
      </c>
      <c r="R187" s="197" t="s">
        <v>328</v>
      </c>
      <c r="S187" s="197" t="s">
        <v>328</v>
      </c>
      <c r="T187" s="197" t="s">
        <v>328</v>
      </c>
      <c r="U187" s="197" t="s">
        <v>328</v>
      </c>
      <c r="V187" s="197" t="s">
        <v>328</v>
      </c>
      <c r="W187" s="197" t="s">
        <v>328</v>
      </c>
      <c r="X187" s="197" t="s">
        <v>328</v>
      </c>
      <c r="Y187" s="197" t="s">
        <v>328</v>
      </c>
      <c r="Z187" s="197" t="s">
        <v>328</v>
      </c>
      <c r="AA187" s="197" t="s">
        <v>328</v>
      </c>
      <c r="AB187" s="197" t="s">
        <v>328</v>
      </c>
    </row>
    <row r="188" spans="1:30" ht="36" customHeight="1" x14ac:dyDescent="0.25">
      <c r="A188" s="335" t="s">
        <v>361</v>
      </c>
      <c r="B188" s="336"/>
      <c r="C188" s="12">
        <v>226</v>
      </c>
      <c r="D188" s="197" t="s">
        <v>328</v>
      </c>
      <c r="E188" s="200"/>
      <c r="F188" s="197" t="s">
        <v>328</v>
      </c>
      <c r="G188" s="248" t="s">
        <v>328</v>
      </c>
      <c r="H188" s="273" t="s">
        <v>328</v>
      </c>
      <c r="I188" s="251" t="s">
        <v>328</v>
      </c>
      <c r="J188" s="197" t="s">
        <v>328</v>
      </c>
      <c r="K188" s="197" t="s">
        <v>328</v>
      </c>
      <c r="L188" s="227">
        <f>SUM(M188:P188)</f>
        <v>2405787.9399999995</v>
      </c>
      <c r="M188" s="228">
        <v>0</v>
      </c>
      <c r="N188" s="228">
        <v>0</v>
      </c>
      <c r="O188" s="228">
        <v>0</v>
      </c>
      <c r="P188" s="228">
        <f>18519035.46-P187</f>
        <v>2405787.9399999995</v>
      </c>
      <c r="Q188" s="197" t="s">
        <v>328</v>
      </c>
      <c r="R188" s="197" t="s">
        <v>328</v>
      </c>
      <c r="S188" s="197" t="s">
        <v>328</v>
      </c>
      <c r="T188" s="197" t="s">
        <v>328</v>
      </c>
      <c r="U188" s="197" t="s">
        <v>328</v>
      </c>
      <c r="V188" s="197" t="s">
        <v>328</v>
      </c>
      <c r="W188" s="197" t="s">
        <v>328</v>
      </c>
      <c r="X188" s="197" t="s">
        <v>328</v>
      </c>
      <c r="Y188" s="197" t="s">
        <v>328</v>
      </c>
      <c r="Z188" s="197" t="s">
        <v>328</v>
      </c>
      <c r="AA188" s="197" t="s">
        <v>328</v>
      </c>
      <c r="AB188" s="197" t="s">
        <v>328</v>
      </c>
    </row>
    <row r="189" spans="1:30" ht="3.75" customHeight="1" x14ac:dyDescent="0.25">
      <c r="A189" s="238"/>
      <c r="B189" s="239"/>
      <c r="C189" s="240"/>
      <c r="D189" s="241"/>
      <c r="E189" s="242"/>
      <c r="F189" s="243"/>
      <c r="G189" s="249"/>
      <c r="H189" s="274"/>
      <c r="I189" s="252"/>
      <c r="J189" s="241"/>
      <c r="K189" s="241"/>
      <c r="L189" s="244"/>
      <c r="M189" s="245"/>
      <c r="N189" s="245"/>
      <c r="O189" s="245"/>
      <c r="P189" s="245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</row>
    <row r="190" spans="1:30" ht="23.25" customHeight="1" x14ac:dyDescent="0.25">
      <c r="A190" s="337" t="s">
        <v>358</v>
      </c>
      <c r="B190" s="338"/>
      <c r="C190" s="12"/>
      <c r="D190" s="51"/>
      <c r="E190" s="200"/>
      <c r="F190" s="52"/>
      <c r="G190" s="99"/>
      <c r="H190" s="264"/>
      <c r="I190" s="90"/>
      <c r="J190" s="53"/>
      <c r="K190" s="53"/>
      <c r="L190" s="227">
        <f>SUM(L191:L194)</f>
        <v>89351662.250000015</v>
      </c>
      <c r="M190" s="227">
        <f>SUM(M191:M194)</f>
        <v>47799030.420000002</v>
      </c>
      <c r="N190" s="227">
        <f>SUM(N191:N194)</f>
        <v>22367690.850000001</v>
      </c>
      <c r="O190" s="227">
        <f>SUM(O191:O194)</f>
        <v>10234288.73</v>
      </c>
      <c r="P190" s="227">
        <f>SUM(P191:P194)</f>
        <v>8950652.2500000019</v>
      </c>
      <c r="Q190" s="54"/>
      <c r="R190" s="53"/>
      <c r="S190" s="53"/>
      <c r="T190" s="53"/>
      <c r="U190" s="55"/>
      <c r="V190" s="54"/>
      <c r="W190" s="53"/>
      <c r="X190" s="53"/>
      <c r="Y190" s="53"/>
      <c r="Z190" s="53"/>
      <c r="AA190" s="159"/>
      <c r="AB190" s="53"/>
    </row>
    <row r="191" spans="1:30" ht="28.5" customHeight="1" x14ac:dyDescent="0.25">
      <c r="A191" s="335" t="s">
        <v>362</v>
      </c>
      <c r="B191" s="336"/>
      <c r="C191" s="12">
        <v>310</v>
      </c>
      <c r="D191" s="197" t="s">
        <v>328</v>
      </c>
      <c r="E191" s="197" t="s">
        <v>328</v>
      </c>
      <c r="F191" s="197" t="s">
        <v>328</v>
      </c>
      <c r="G191" s="248" t="s">
        <v>328</v>
      </c>
      <c r="H191" s="273" t="s">
        <v>328</v>
      </c>
      <c r="I191" s="251" t="s">
        <v>328</v>
      </c>
      <c r="J191" s="197" t="s">
        <v>328</v>
      </c>
      <c r="K191" s="197" t="s">
        <v>328</v>
      </c>
      <c r="L191" s="227">
        <f>SUM(M191:P191)</f>
        <v>80401010.000000015</v>
      </c>
      <c r="M191" s="228">
        <f>M130+M146</f>
        <v>47799030.420000002</v>
      </c>
      <c r="N191" s="228">
        <f>N130+N146</f>
        <v>22367690.850000001</v>
      </c>
      <c r="O191" s="228">
        <f>O130+O146</f>
        <v>10234288.73</v>
      </c>
      <c r="P191" s="228">
        <f>P130+P146</f>
        <v>0</v>
      </c>
      <c r="Q191" s="197" t="s">
        <v>328</v>
      </c>
      <c r="R191" s="197" t="s">
        <v>328</v>
      </c>
      <c r="S191" s="197" t="s">
        <v>328</v>
      </c>
      <c r="T191" s="197" t="s">
        <v>328</v>
      </c>
      <c r="U191" s="197" t="s">
        <v>328</v>
      </c>
      <c r="V191" s="197" t="s">
        <v>328</v>
      </c>
      <c r="W191" s="197" t="s">
        <v>328</v>
      </c>
      <c r="X191" s="197" t="s">
        <v>328</v>
      </c>
      <c r="Y191" s="197" t="s">
        <v>328</v>
      </c>
      <c r="Z191" s="197" t="s">
        <v>328</v>
      </c>
      <c r="AA191" s="197" t="s">
        <v>328</v>
      </c>
      <c r="AB191" s="197" t="s">
        <v>328</v>
      </c>
    </row>
    <row r="192" spans="1:30" ht="37.5" customHeight="1" x14ac:dyDescent="0.25">
      <c r="A192" s="335" t="s">
        <v>363</v>
      </c>
      <c r="B192" s="336"/>
      <c r="C192" s="12">
        <v>310</v>
      </c>
      <c r="D192" s="197" t="s">
        <v>328</v>
      </c>
      <c r="E192" s="197" t="s">
        <v>328</v>
      </c>
      <c r="F192" s="197" t="s">
        <v>328</v>
      </c>
      <c r="G192" s="248" t="s">
        <v>328</v>
      </c>
      <c r="H192" s="273" t="s">
        <v>328</v>
      </c>
      <c r="I192" s="251" t="s">
        <v>328</v>
      </c>
      <c r="J192" s="197" t="s">
        <v>328</v>
      </c>
      <c r="K192" s="197" t="s">
        <v>328</v>
      </c>
      <c r="L192" s="227">
        <f>SUM(M192:P192)</f>
        <v>0</v>
      </c>
      <c r="M192" s="228">
        <f>33459321.29+14339709.13-M191</f>
        <v>0</v>
      </c>
      <c r="N192" s="228">
        <f>22367690.85-N191</f>
        <v>0</v>
      </c>
      <c r="O192" s="228">
        <f>10234288.73-O191</f>
        <v>0</v>
      </c>
      <c r="P192" s="228">
        <f>0-P191</f>
        <v>0</v>
      </c>
      <c r="Q192" s="197" t="s">
        <v>328</v>
      </c>
      <c r="R192" s="197" t="s">
        <v>328</v>
      </c>
      <c r="S192" s="197" t="s">
        <v>328</v>
      </c>
      <c r="T192" s="197" t="s">
        <v>328</v>
      </c>
      <c r="U192" s="197" t="s">
        <v>328</v>
      </c>
      <c r="V192" s="197" t="s">
        <v>328</v>
      </c>
      <c r="W192" s="197" t="s">
        <v>328</v>
      </c>
      <c r="X192" s="197" t="s">
        <v>328</v>
      </c>
      <c r="Y192" s="197" t="s">
        <v>328</v>
      </c>
      <c r="Z192" s="197" t="s">
        <v>328</v>
      </c>
      <c r="AA192" s="197" t="s">
        <v>328</v>
      </c>
      <c r="AB192" s="197" t="s">
        <v>328</v>
      </c>
    </row>
    <row r="193" spans="1:29" ht="30.75" customHeight="1" x14ac:dyDescent="0.25">
      <c r="A193" s="335" t="s">
        <v>362</v>
      </c>
      <c r="B193" s="336"/>
      <c r="C193" s="12">
        <v>226</v>
      </c>
      <c r="D193" s="197" t="s">
        <v>328</v>
      </c>
      <c r="E193" s="197" t="s">
        <v>328</v>
      </c>
      <c r="F193" s="197" t="s">
        <v>328</v>
      </c>
      <c r="G193" s="248" t="s">
        <v>328</v>
      </c>
      <c r="H193" s="273" t="s">
        <v>328</v>
      </c>
      <c r="I193" s="251" t="s">
        <v>328</v>
      </c>
      <c r="J193" s="197" t="s">
        <v>328</v>
      </c>
      <c r="K193" s="197" t="s">
        <v>328</v>
      </c>
      <c r="L193" s="227">
        <f>SUM(M193:P193)</f>
        <v>8950652.2500000019</v>
      </c>
      <c r="M193" s="228">
        <v>0</v>
      </c>
      <c r="N193" s="228">
        <v>0</v>
      </c>
      <c r="O193" s="228">
        <v>0</v>
      </c>
      <c r="P193" s="228">
        <f>SUM(P131:P143,P148:P161)</f>
        <v>8950652.2500000019</v>
      </c>
      <c r="Q193" s="197" t="s">
        <v>328</v>
      </c>
      <c r="R193" s="197" t="s">
        <v>328</v>
      </c>
      <c r="S193" s="197" t="s">
        <v>328</v>
      </c>
      <c r="T193" s="197" t="s">
        <v>328</v>
      </c>
      <c r="U193" s="197" t="s">
        <v>328</v>
      </c>
      <c r="V193" s="197" t="s">
        <v>328</v>
      </c>
      <c r="W193" s="197" t="s">
        <v>328</v>
      </c>
      <c r="X193" s="197" t="s">
        <v>328</v>
      </c>
      <c r="Y193" s="197" t="s">
        <v>328</v>
      </c>
      <c r="Z193" s="197" t="s">
        <v>328</v>
      </c>
      <c r="AA193" s="197" t="s">
        <v>328</v>
      </c>
      <c r="AB193" s="197" t="s">
        <v>328</v>
      </c>
    </row>
    <row r="194" spans="1:29" ht="35.25" customHeight="1" x14ac:dyDescent="0.25">
      <c r="A194" s="335" t="s">
        <v>363</v>
      </c>
      <c r="B194" s="336"/>
      <c r="C194" s="12">
        <v>226</v>
      </c>
      <c r="D194" s="197" t="s">
        <v>328</v>
      </c>
      <c r="E194" s="197" t="s">
        <v>328</v>
      </c>
      <c r="F194" s="197" t="s">
        <v>328</v>
      </c>
      <c r="G194" s="248" t="s">
        <v>328</v>
      </c>
      <c r="H194" s="273" t="s">
        <v>328</v>
      </c>
      <c r="I194" s="251" t="s">
        <v>328</v>
      </c>
      <c r="J194" s="197" t="s">
        <v>328</v>
      </c>
      <c r="K194" s="197" t="s">
        <v>328</v>
      </c>
      <c r="L194" s="227">
        <f>SUM(M194:P194)</f>
        <v>0</v>
      </c>
      <c r="M194" s="228">
        <v>0</v>
      </c>
      <c r="N194" s="228">
        <v>0</v>
      </c>
      <c r="O194" s="228">
        <v>0</v>
      </c>
      <c r="P194" s="228">
        <f>8752070.25+198582-P193</f>
        <v>0</v>
      </c>
      <c r="Q194" s="197" t="s">
        <v>328</v>
      </c>
      <c r="R194" s="197" t="s">
        <v>328</v>
      </c>
      <c r="S194" s="197" t="s">
        <v>328</v>
      </c>
      <c r="T194" s="197" t="s">
        <v>328</v>
      </c>
      <c r="U194" s="197" t="s">
        <v>328</v>
      </c>
      <c r="V194" s="197" t="s">
        <v>328</v>
      </c>
      <c r="W194" s="197" t="s">
        <v>328</v>
      </c>
      <c r="X194" s="197" t="s">
        <v>328</v>
      </c>
      <c r="Y194" s="197" t="s">
        <v>328</v>
      </c>
      <c r="Z194" s="197" t="s">
        <v>328</v>
      </c>
      <c r="AA194" s="197" t="s">
        <v>328</v>
      </c>
      <c r="AB194" s="197" t="s">
        <v>328</v>
      </c>
    </row>
    <row r="195" spans="1:29" ht="6.75" customHeight="1" x14ac:dyDescent="0.25">
      <c r="A195" s="238"/>
      <c r="B195" s="239"/>
      <c r="C195" s="240"/>
      <c r="D195" s="241"/>
      <c r="E195" s="242"/>
      <c r="F195" s="243"/>
      <c r="G195" s="249"/>
      <c r="H195" s="274"/>
      <c r="I195" s="252"/>
      <c r="J195" s="241"/>
      <c r="K195" s="241"/>
      <c r="L195" s="244"/>
      <c r="M195" s="245"/>
      <c r="N195" s="245"/>
      <c r="O195" s="245"/>
      <c r="P195" s="245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</row>
    <row r="196" spans="1:29" ht="28.5" customHeight="1" x14ac:dyDescent="0.25">
      <c r="A196" s="337" t="s">
        <v>356</v>
      </c>
      <c r="B196" s="338"/>
      <c r="C196" s="12"/>
      <c r="D196" s="51"/>
      <c r="E196" s="200"/>
      <c r="F196" s="52"/>
      <c r="G196" s="99"/>
      <c r="H196" s="264"/>
      <c r="I196" s="90"/>
      <c r="J196" s="53"/>
      <c r="K196" s="53"/>
      <c r="L196" s="227" t="e">
        <f>SUM(L197:L199)</f>
        <v>#REF!</v>
      </c>
      <c r="M196" s="227" t="e">
        <f>SUM(M197:M199)</f>
        <v>#REF!</v>
      </c>
      <c r="N196" s="227" t="e">
        <f>SUM(N197:N199)</f>
        <v>#REF!</v>
      </c>
      <c r="O196" s="227" t="e">
        <f>SUM(O197:O199)</f>
        <v>#REF!</v>
      </c>
      <c r="P196" s="227" t="e">
        <f>SUM(P197:P199)</f>
        <v>#REF!</v>
      </c>
      <c r="Q196" s="54"/>
      <c r="R196" s="53"/>
      <c r="S196" s="53"/>
      <c r="T196" s="53"/>
      <c r="U196" s="55"/>
      <c r="V196" s="54"/>
      <c r="W196" s="53"/>
      <c r="X196" s="53"/>
      <c r="Y196" s="53"/>
      <c r="Z196" s="53"/>
      <c r="AA196" s="159"/>
      <c r="AB196" s="53"/>
    </row>
    <row r="197" spans="1:29" ht="52.5" customHeight="1" x14ac:dyDescent="0.25">
      <c r="A197" s="335" t="s">
        <v>355</v>
      </c>
      <c r="B197" s="336"/>
      <c r="C197" s="12">
        <v>310</v>
      </c>
      <c r="D197" s="197" t="s">
        <v>328</v>
      </c>
      <c r="E197" s="197" t="s">
        <v>328</v>
      </c>
      <c r="F197" s="197" t="s">
        <v>328</v>
      </c>
      <c r="G197" s="248" t="s">
        <v>328</v>
      </c>
      <c r="H197" s="273" t="s">
        <v>328</v>
      </c>
      <c r="I197" s="251" t="s">
        <v>328</v>
      </c>
      <c r="J197" s="197" t="s">
        <v>328</v>
      </c>
      <c r="K197" s="197" t="s">
        <v>328</v>
      </c>
      <c r="L197" s="227">
        <f>SUM(M197:P197)</f>
        <v>10234510.759999998</v>
      </c>
      <c r="M197" s="228">
        <f>M44+M90+M107+M147</f>
        <v>5790903.4399999995</v>
      </c>
      <c r="N197" s="228">
        <f>N44+N90+N107+N147</f>
        <v>2537092.19</v>
      </c>
      <c r="O197" s="228">
        <f>O44+O90+O107+O147</f>
        <v>706644.37</v>
      </c>
      <c r="P197" s="228">
        <f>P44+P90+P107+P147</f>
        <v>1199870.76</v>
      </c>
      <c r="Q197" s="197" t="s">
        <v>328</v>
      </c>
      <c r="R197" s="197" t="s">
        <v>328</v>
      </c>
      <c r="S197" s="197" t="s">
        <v>328</v>
      </c>
      <c r="T197" s="197" t="s">
        <v>328</v>
      </c>
      <c r="U197" s="197" t="s">
        <v>328</v>
      </c>
      <c r="V197" s="197" t="s">
        <v>328</v>
      </c>
      <c r="W197" s="197" t="s">
        <v>328</v>
      </c>
      <c r="X197" s="197" t="s">
        <v>328</v>
      </c>
      <c r="Y197" s="197" t="s">
        <v>328</v>
      </c>
      <c r="Z197" s="197" t="s">
        <v>328</v>
      </c>
      <c r="AA197" s="197" t="s">
        <v>328</v>
      </c>
      <c r="AB197" s="197" t="s">
        <v>328</v>
      </c>
    </row>
    <row r="198" spans="1:29" ht="52.5" customHeight="1" x14ac:dyDescent="0.25">
      <c r="A198" s="335" t="s">
        <v>364</v>
      </c>
      <c r="B198" s="336"/>
      <c r="C198" s="12">
        <v>310</v>
      </c>
      <c r="D198" s="197" t="s">
        <v>328</v>
      </c>
      <c r="E198" s="197" t="s">
        <v>328</v>
      </c>
      <c r="F198" s="197" t="s">
        <v>328</v>
      </c>
      <c r="G198" s="248" t="s">
        <v>328</v>
      </c>
      <c r="H198" s="273" t="s">
        <v>328</v>
      </c>
      <c r="I198" s="251" t="s">
        <v>328</v>
      </c>
      <c r="J198" s="197" t="s">
        <v>328</v>
      </c>
      <c r="K198" s="197" t="s">
        <v>328</v>
      </c>
      <c r="L198" s="227" t="e">
        <f>SUM(M198:P198)</f>
        <v>#REF!</v>
      </c>
      <c r="M198" s="228" t="e">
        <f>#REF!+#REF!</f>
        <v>#REF!</v>
      </c>
      <c r="N198" s="228" t="e">
        <f>#REF!+#REF!</f>
        <v>#REF!</v>
      </c>
      <c r="O198" s="228" t="e">
        <f>#REF!+#REF!</f>
        <v>#REF!</v>
      </c>
      <c r="P198" s="228" t="e">
        <f>#REF!+#REF!</f>
        <v>#REF!</v>
      </c>
      <c r="Q198" s="197" t="s">
        <v>328</v>
      </c>
      <c r="R198" s="197" t="s">
        <v>328</v>
      </c>
      <c r="S198" s="197" t="s">
        <v>328</v>
      </c>
      <c r="T198" s="197" t="s">
        <v>328</v>
      </c>
      <c r="U198" s="197" t="s">
        <v>328</v>
      </c>
      <c r="V198" s="197" t="s">
        <v>328</v>
      </c>
      <c r="W198" s="197" t="s">
        <v>328</v>
      </c>
      <c r="X198" s="197" t="s">
        <v>328</v>
      </c>
      <c r="Y198" s="197" t="s">
        <v>328</v>
      </c>
      <c r="Z198" s="197" t="s">
        <v>328</v>
      </c>
      <c r="AA198" s="197" t="s">
        <v>328</v>
      </c>
      <c r="AB198" s="197" t="s">
        <v>328</v>
      </c>
    </row>
    <row r="199" spans="1:29" ht="44.25" customHeight="1" x14ac:dyDescent="0.25">
      <c r="A199" s="335" t="s">
        <v>365</v>
      </c>
      <c r="B199" s="336"/>
      <c r="C199" s="12">
        <v>310</v>
      </c>
      <c r="D199" s="197" t="s">
        <v>328</v>
      </c>
      <c r="E199" s="197" t="s">
        <v>328</v>
      </c>
      <c r="F199" s="197" t="s">
        <v>328</v>
      </c>
      <c r="G199" s="248" t="s">
        <v>328</v>
      </c>
      <c r="H199" s="273" t="s">
        <v>328</v>
      </c>
      <c r="I199" s="251" t="s">
        <v>328</v>
      </c>
      <c r="J199" s="197" t="s">
        <v>328</v>
      </c>
      <c r="K199" s="197" t="s">
        <v>328</v>
      </c>
      <c r="L199" s="227" t="e">
        <f>SUM(M199:P199)</f>
        <v>#REF!</v>
      </c>
      <c r="M199" s="228" t="e">
        <f>#REF!</f>
        <v>#REF!</v>
      </c>
      <c r="N199" s="228" t="e">
        <f>#REF!</f>
        <v>#REF!</v>
      </c>
      <c r="O199" s="228" t="e">
        <f>#REF!</f>
        <v>#REF!</v>
      </c>
      <c r="P199" s="228" t="e">
        <f>#REF!</f>
        <v>#REF!</v>
      </c>
      <c r="Q199" s="197" t="s">
        <v>328</v>
      </c>
      <c r="R199" s="197" t="s">
        <v>328</v>
      </c>
      <c r="S199" s="197" t="s">
        <v>328</v>
      </c>
      <c r="T199" s="197" t="s">
        <v>328</v>
      </c>
      <c r="U199" s="197" t="s">
        <v>328</v>
      </c>
      <c r="V199" s="197" t="s">
        <v>328</v>
      </c>
      <c r="W199" s="197" t="s">
        <v>328</v>
      </c>
      <c r="X199" s="197" t="s">
        <v>328</v>
      </c>
      <c r="Y199" s="197" t="s">
        <v>328</v>
      </c>
      <c r="Z199" s="197" t="s">
        <v>328</v>
      </c>
      <c r="AA199" s="197" t="s">
        <v>328</v>
      </c>
      <c r="AB199" s="197" t="s">
        <v>328</v>
      </c>
    </row>
    <row r="201" spans="1:29" ht="52.5" customHeight="1" x14ac:dyDescent="0.45">
      <c r="B201" s="224" t="s">
        <v>353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35"/>
      <c r="P201" s="37"/>
      <c r="Q201" s="35"/>
      <c r="R201" s="49"/>
      <c r="S201" s="49"/>
      <c r="T201" s="49"/>
      <c r="U201" s="37"/>
      <c r="V201" s="35"/>
      <c r="AC201" s="35"/>
    </row>
    <row r="202" spans="1:29" x14ac:dyDescent="0.25">
      <c r="B202" s="220"/>
      <c r="C202" s="220"/>
      <c r="D202" s="221"/>
      <c r="E202" s="221"/>
      <c r="F202" s="221"/>
      <c r="G202" s="221"/>
      <c r="H202" s="221"/>
      <c r="I202" s="221"/>
      <c r="J202" s="221"/>
      <c r="K202" s="221"/>
      <c r="L202" s="35"/>
      <c r="P202" s="37"/>
      <c r="Q202" s="35"/>
      <c r="R202" s="49"/>
      <c r="S202" s="49"/>
      <c r="T202" s="49"/>
      <c r="U202" s="37"/>
      <c r="V202" s="35"/>
      <c r="AC202" s="35"/>
    </row>
    <row r="203" spans="1:29" x14ac:dyDescent="0.25">
      <c r="B203" s="220"/>
      <c r="C203" s="220"/>
      <c r="D203" s="221"/>
      <c r="E203" s="221"/>
      <c r="F203" s="221"/>
      <c r="G203" s="221"/>
      <c r="H203" s="221"/>
      <c r="I203" s="221"/>
      <c r="J203" s="221"/>
      <c r="K203" s="221"/>
      <c r="L203" s="35"/>
      <c r="P203" s="37"/>
      <c r="Q203" s="35"/>
      <c r="R203" s="49"/>
      <c r="S203" s="49"/>
      <c r="T203" s="49"/>
      <c r="U203" s="37"/>
      <c r="V203" s="35"/>
      <c r="AC203" s="35"/>
    </row>
    <row r="204" spans="1:29" ht="26.25" x14ac:dyDescent="0.4">
      <c r="B204" s="225" t="s">
        <v>354</v>
      </c>
      <c r="C204" s="220"/>
      <c r="D204" s="221"/>
      <c r="E204" s="221"/>
      <c r="F204" s="221"/>
      <c r="G204" s="221"/>
      <c r="H204" s="221"/>
      <c r="I204" s="221"/>
      <c r="J204" s="221"/>
      <c r="K204" s="221"/>
      <c r="L204" s="35"/>
      <c r="P204" s="37"/>
      <c r="Q204" s="35"/>
      <c r="R204" s="49"/>
      <c r="S204" s="49"/>
      <c r="T204" s="49"/>
      <c r="U204" s="37"/>
      <c r="V204" s="35"/>
      <c r="AC204" s="35"/>
    </row>
  </sheetData>
  <autoFilter ref="A5:AD177"/>
  <mergeCells count="85">
    <mergeCell ref="A1:AB1"/>
    <mergeCell ref="A2:C2"/>
    <mergeCell ref="A3:A4"/>
    <mergeCell ref="B3:B4"/>
    <mergeCell ref="C3:C4"/>
    <mergeCell ref="D3:E3"/>
    <mergeCell ref="F3:F4"/>
    <mergeCell ref="G3:G4"/>
    <mergeCell ref="H3:H4"/>
    <mergeCell ref="I3:I4"/>
    <mergeCell ref="T3:T4"/>
    <mergeCell ref="U3:U4"/>
    <mergeCell ref="J3:J4"/>
    <mergeCell ref="K3:K4"/>
    <mergeCell ref="L3:L4"/>
    <mergeCell ref="M3:M4"/>
    <mergeCell ref="N3:N4"/>
    <mergeCell ref="O3:O4"/>
    <mergeCell ref="AB3:AB4"/>
    <mergeCell ref="AC3:AC4"/>
    <mergeCell ref="A6:C6"/>
    <mergeCell ref="X3:X4"/>
    <mergeCell ref="Y3:Y4"/>
    <mergeCell ref="Z3:Z4"/>
    <mergeCell ref="AA3:AA4"/>
    <mergeCell ref="V3:V4"/>
    <mergeCell ref="W3:W4"/>
    <mergeCell ref="P3:P4"/>
    <mergeCell ref="Q3:Q4"/>
    <mergeCell ref="R3:R4"/>
    <mergeCell ref="S3:S4"/>
    <mergeCell ref="D88:D90"/>
    <mergeCell ref="A105:A107"/>
    <mergeCell ref="C105:C107"/>
    <mergeCell ref="D105:D107"/>
    <mergeCell ref="A42:A44"/>
    <mergeCell ref="C42:C44"/>
    <mergeCell ref="D42:D44"/>
    <mergeCell ref="A126:B126"/>
    <mergeCell ref="A127:B127"/>
    <mergeCell ref="A128:C128"/>
    <mergeCell ref="A145:A147"/>
    <mergeCell ref="A88:A90"/>
    <mergeCell ref="C88:C90"/>
    <mergeCell ref="A121:B121"/>
    <mergeCell ref="A122:B122"/>
    <mergeCell ref="A123:B123"/>
    <mergeCell ref="A124:B124"/>
    <mergeCell ref="A125:B125"/>
    <mergeCell ref="D145:D147"/>
    <mergeCell ref="A162:B162"/>
    <mergeCell ref="A175:B175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63:B163"/>
    <mergeCell ref="A188:B188"/>
    <mergeCell ref="A176:B176"/>
    <mergeCell ref="A177:B177"/>
    <mergeCell ref="A178:B178"/>
    <mergeCell ref="A179:B179"/>
    <mergeCell ref="A180:B180"/>
    <mergeCell ref="A181:B181"/>
    <mergeCell ref="A182:B182"/>
    <mergeCell ref="A184:B184"/>
    <mergeCell ref="A185:B185"/>
    <mergeCell ref="A186:B186"/>
    <mergeCell ref="A187:B187"/>
    <mergeCell ref="A197:B197"/>
    <mergeCell ref="A198:B198"/>
    <mergeCell ref="A199:B199"/>
    <mergeCell ref="A190:B190"/>
    <mergeCell ref="A191:B191"/>
    <mergeCell ref="A192:B192"/>
    <mergeCell ref="A193:B193"/>
    <mergeCell ref="A194:B194"/>
    <mergeCell ref="A196:B196"/>
  </mergeCells>
  <pageMargins left="0.39370078740157483" right="0.39370078740157483" top="0.39370078740157483" bottom="0.3937007874015748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F37" sqref="F37"/>
    </sheetView>
  </sheetViews>
  <sheetFormatPr defaultColWidth="9.140625" defaultRowHeight="15" x14ac:dyDescent="0.25"/>
  <cols>
    <col min="1" max="1" width="14.85546875" style="171" customWidth="1"/>
    <col min="2" max="2" width="14" style="171" customWidth="1"/>
    <col min="3" max="3" width="13.42578125" style="171" customWidth="1"/>
    <col min="4" max="4" width="13.28515625" style="171" customWidth="1"/>
    <col min="5" max="5" width="11.5703125" style="171" bestFit="1" customWidth="1"/>
    <col min="6" max="6" width="14.85546875" style="171" customWidth="1"/>
    <col min="7" max="8" width="15.42578125" style="171" customWidth="1"/>
    <col min="9" max="9" width="12.5703125" style="171" bestFit="1" customWidth="1"/>
    <col min="10" max="10" width="14.140625" style="171" customWidth="1"/>
    <col min="11" max="11" width="12.5703125" style="171" customWidth="1"/>
    <col min="12" max="12" width="12.5703125" style="171" bestFit="1" customWidth="1"/>
    <col min="13" max="14" width="11.5703125" style="171" bestFit="1" customWidth="1"/>
    <col min="15" max="16384" width="9.140625" style="171"/>
  </cols>
  <sheetData>
    <row r="1" spans="1:14" x14ac:dyDescent="0.25">
      <c r="A1" s="171" t="s">
        <v>398</v>
      </c>
      <c r="J1" s="286"/>
      <c r="K1" s="287"/>
      <c r="L1" s="287">
        <v>100</v>
      </c>
      <c r="M1" s="287"/>
      <c r="N1" s="288"/>
    </row>
    <row r="2" spans="1:14" x14ac:dyDescent="0.25">
      <c r="A2" s="286"/>
      <c r="B2" s="287" t="s">
        <v>394</v>
      </c>
      <c r="C2" s="287" t="s">
        <v>187</v>
      </c>
      <c r="D2" s="287" t="s">
        <v>188</v>
      </c>
      <c r="E2" s="288" t="s">
        <v>189</v>
      </c>
      <c r="J2" s="289"/>
      <c r="K2" s="290"/>
      <c r="L2" s="287" t="s">
        <v>187</v>
      </c>
      <c r="M2" s="287" t="s">
        <v>188</v>
      </c>
      <c r="N2" s="288" t="s">
        <v>189</v>
      </c>
    </row>
    <row r="3" spans="1:14" x14ac:dyDescent="0.25">
      <c r="A3" s="289" t="s">
        <v>393</v>
      </c>
      <c r="B3" s="290">
        <f>SUM(C3:E3)</f>
        <v>11825178</v>
      </c>
      <c r="C3" s="290">
        <v>7158746.4500000002</v>
      </c>
      <c r="D3" s="290">
        <v>3741525.25</v>
      </c>
      <c r="E3" s="291">
        <v>924906.3</v>
      </c>
      <c r="J3" s="289" t="s">
        <v>402</v>
      </c>
      <c r="K3" s="290">
        <v>596.6</v>
      </c>
      <c r="L3" s="290">
        <v>13277283.300000001</v>
      </c>
      <c r="M3" s="290">
        <v>5567658.9000000004</v>
      </c>
      <c r="N3" s="291">
        <v>2889195.8</v>
      </c>
    </row>
    <row r="4" spans="1:14" x14ac:dyDescent="0.25">
      <c r="A4" s="289" t="s">
        <v>395</v>
      </c>
      <c r="B4" s="290">
        <f>SUM(C4:E4)</f>
        <v>16440859</v>
      </c>
      <c r="C4" s="290">
        <v>9919277.7300000004</v>
      </c>
      <c r="D4" s="290">
        <v>5235659.4800000004</v>
      </c>
      <c r="E4" s="291">
        <v>1285921.79</v>
      </c>
      <c r="J4" s="289"/>
      <c r="K4" s="290">
        <v>279.8</v>
      </c>
      <c r="L4" s="290">
        <f>L3*K4/K3</f>
        <v>6226925.6911498494</v>
      </c>
      <c r="M4" s="290">
        <f>M3*K4/K3</f>
        <v>2611181.629601073</v>
      </c>
      <c r="N4" s="291">
        <f>N3*K4/K3</f>
        <v>1355006.679249078</v>
      </c>
    </row>
    <row r="5" spans="1:14" x14ac:dyDescent="0.25">
      <c r="A5" s="289" t="s">
        <v>396</v>
      </c>
      <c r="B5" s="290">
        <f>SUM(C5:E5)</f>
        <v>958109</v>
      </c>
      <c r="C5" s="290">
        <v>659405.64</v>
      </c>
      <c r="D5" s="290">
        <v>223764.87</v>
      </c>
      <c r="E5" s="291">
        <v>74938.490000000005</v>
      </c>
      <c r="J5" s="289"/>
      <c r="K5" s="290">
        <f>K3-K4</f>
        <v>316.8</v>
      </c>
      <c r="L5" s="290">
        <f>L3-L4</f>
        <v>7050357.6088501513</v>
      </c>
      <c r="M5" s="290">
        <f>M3-M4</f>
        <v>2956477.2703989274</v>
      </c>
      <c r="N5" s="291">
        <f>N3-N4</f>
        <v>1534189.1207509218</v>
      </c>
    </row>
    <row r="6" spans="1:14" x14ac:dyDescent="0.25">
      <c r="A6" s="289" t="s">
        <v>397</v>
      </c>
      <c r="B6" s="290">
        <f>SUM(C6:E6)</f>
        <v>15533752</v>
      </c>
      <c r="C6" s="290">
        <v>9376758.1600000001</v>
      </c>
      <c r="D6" s="290">
        <v>4942021.43</v>
      </c>
      <c r="E6" s="291">
        <v>1214972.4099999999</v>
      </c>
      <c r="J6" s="289"/>
      <c r="K6" s="295" t="s">
        <v>203</v>
      </c>
      <c r="L6" s="295">
        <f>SUM(L4:L5)</f>
        <v>13277283.300000001</v>
      </c>
      <c r="M6" s="295">
        <f>SUM(M4:M5)</f>
        <v>5567658.9000000004</v>
      </c>
      <c r="N6" s="296">
        <f>SUM(N4:N5)</f>
        <v>2889195.8</v>
      </c>
    </row>
    <row r="7" spans="1:14" x14ac:dyDescent="0.25">
      <c r="A7" s="292"/>
      <c r="B7" s="293">
        <f>SUM(B3:B6)</f>
        <v>44757898</v>
      </c>
      <c r="C7" s="293">
        <f>SUM(C3:C6)</f>
        <v>27114187.98</v>
      </c>
      <c r="D7" s="293">
        <f>SUM(D3:D6)</f>
        <v>14142971.029999999</v>
      </c>
      <c r="E7" s="294">
        <f>SUM(E3:E6)</f>
        <v>3500738.99</v>
      </c>
      <c r="J7" s="289"/>
      <c r="K7" s="290"/>
      <c r="L7" s="290"/>
      <c r="M7" s="290"/>
      <c r="N7" s="291"/>
    </row>
    <row r="8" spans="1:14" x14ac:dyDescent="0.25">
      <c r="J8" s="289"/>
      <c r="K8" s="290" t="s">
        <v>399</v>
      </c>
      <c r="L8" s="290">
        <v>6226925.6900000004</v>
      </c>
      <c r="M8" s="290">
        <v>2611181.63</v>
      </c>
      <c r="N8" s="291">
        <v>1355006.68</v>
      </c>
    </row>
    <row r="9" spans="1:14" x14ac:dyDescent="0.25">
      <c r="A9" s="171" t="s">
        <v>399</v>
      </c>
      <c r="J9" s="289"/>
      <c r="K9" s="290"/>
      <c r="L9" s="290">
        <v>7050357.6100000003</v>
      </c>
      <c r="M9" s="290">
        <v>2956477.27</v>
      </c>
      <c r="N9" s="291">
        <v>1534189.12</v>
      </c>
    </row>
    <row r="10" spans="1:14" x14ac:dyDescent="0.25">
      <c r="B10" s="287" t="s">
        <v>394</v>
      </c>
      <c r="C10" s="287" t="s">
        <v>187</v>
      </c>
      <c r="D10" s="287" t="s">
        <v>188</v>
      </c>
      <c r="E10" s="288" t="s">
        <v>189</v>
      </c>
      <c r="J10" s="292"/>
      <c r="K10" s="293"/>
      <c r="L10" s="297">
        <f>L3-L8-L9</f>
        <v>0</v>
      </c>
      <c r="M10" s="297">
        <f>M3-M8-M9</f>
        <v>0</v>
      </c>
      <c r="N10" s="298">
        <f>N3-N8-N9</f>
        <v>0</v>
      </c>
    </row>
    <row r="11" spans="1:14" x14ac:dyDescent="0.25">
      <c r="A11" s="171" t="s">
        <v>400</v>
      </c>
      <c r="B11" s="290">
        <f>SUM(C11:E11)</f>
        <v>14163984.000000002</v>
      </c>
      <c r="C11" s="171">
        <v>8682799.4100000001</v>
      </c>
      <c r="D11" s="171">
        <v>3598316.12</v>
      </c>
      <c r="E11" s="171">
        <v>1882868.47</v>
      </c>
    </row>
    <row r="12" spans="1:14" x14ac:dyDescent="0.25">
      <c r="A12" s="171" t="s">
        <v>401</v>
      </c>
      <c r="B12" s="290">
        <f>SUM(C12:E12)</f>
        <v>14619359.000000002</v>
      </c>
      <c r="C12" s="171">
        <v>8959175.9600000009</v>
      </c>
      <c r="D12" s="171">
        <v>3716779.96</v>
      </c>
      <c r="E12" s="171">
        <v>1943403.08</v>
      </c>
    </row>
    <row r="13" spans="1:14" x14ac:dyDescent="0.25">
      <c r="A13" s="171" t="s">
        <v>402</v>
      </c>
      <c r="B13" s="290">
        <f>SUM(C13:E13)</f>
        <v>10193114</v>
      </c>
      <c r="C13" s="290">
        <v>6226925.6900000004</v>
      </c>
      <c r="D13" s="290">
        <v>2611181.63</v>
      </c>
      <c r="E13" s="291">
        <v>1355006.68</v>
      </c>
    </row>
    <row r="14" spans="1:14" x14ac:dyDescent="0.25">
      <c r="B14" s="290">
        <f>SUM(B11:B13)</f>
        <v>38976457</v>
      </c>
      <c r="C14" s="290">
        <f>SUM(C11:C13)</f>
        <v>23868901.060000002</v>
      </c>
      <c r="D14" s="290">
        <f>SUM(D11:D13)</f>
        <v>9926277.7100000009</v>
      </c>
      <c r="E14" s="290">
        <f>SUM(E11:E13)</f>
        <v>5181278.2299999995</v>
      </c>
      <c r="J14" s="171" t="s">
        <v>187</v>
      </c>
    </row>
    <row r="15" spans="1:14" x14ac:dyDescent="0.25">
      <c r="I15" s="171" t="s">
        <v>403</v>
      </c>
      <c r="J15" s="171">
        <v>153942505.72999999</v>
      </c>
      <c r="K15" s="171">
        <v>100</v>
      </c>
    </row>
    <row r="16" spans="1:14" x14ac:dyDescent="0.25">
      <c r="I16" s="171" t="s">
        <v>404</v>
      </c>
      <c r="J16" s="171">
        <v>154979101.38</v>
      </c>
      <c r="K16" s="171">
        <f>J16*K15/J15</f>
        <v>100.673365452306</v>
      </c>
      <c r="L16" s="171">
        <f>K16-K15</f>
        <v>0.67336545230600109</v>
      </c>
    </row>
    <row r="17" spans="1:12" x14ac:dyDescent="0.25">
      <c r="K17" s="171">
        <f>K16/100</f>
        <v>1.0067336545230601</v>
      </c>
    </row>
    <row r="18" spans="1:12" x14ac:dyDescent="0.25">
      <c r="B18" s="171">
        <f>SUM(B19:B22)</f>
        <v>6252.47</v>
      </c>
      <c r="C18" s="171">
        <v>100</v>
      </c>
      <c r="D18" s="171" t="e">
        <f>#REF!</f>
        <v>#REF!</v>
      </c>
      <c r="F18" s="287" t="s">
        <v>187</v>
      </c>
      <c r="G18" s="287" t="s">
        <v>188</v>
      </c>
      <c r="H18" s="290"/>
      <c r="J18" s="171" t="s">
        <v>188</v>
      </c>
    </row>
    <row r="19" spans="1:12" x14ac:dyDescent="0.25">
      <c r="A19" s="171" t="s">
        <v>405</v>
      </c>
      <c r="B19" s="171">
        <v>2989.92</v>
      </c>
      <c r="C19" s="171">
        <f>B19*C18/B18</f>
        <v>47.819821606501108</v>
      </c>
      <c r="D19" s="171" t="e">
        <f>D18*C19%</f>
        <v>#REF!</v>
      </c>
      <c r="E19" s="299">
        <v>495698.19</v>
      </c>
      <c r="F19" s="171">
        <f>60649045.02+E19</f>
        <v>61144743.210000001</v>
      </c>
      <c r="G19" s="171">
        <f>25996120.91-E19</f>
        <v>25500422.719999999</v>
      </c>
      <c r="I19" s="171" t="s">
        <v>403</v>
      </c>
      <c r="J19" s="171">
        <v>68505645.349999994</v>
      </c>
      <c r="K19" s="171">
        <v>100</v>
      </c>
    </row>
    <row r="20" spans="1:12" x14ac:dyDescent="0.25">
      <c r="A20" s="171" t="s">
        <v>406</v>
      </c>
      <c r="B20" s="171">
        <v>1571.35</v>
      </c>
      <c r="C20" s="171">
        <f>B20*C18/B18</f>
        <v>25.131667964820302</v>
      </c>
      <c r="D20" s="171" t="e">
        <f>D18*C20%</f>
        <v>#REF!</v>
      </c>
      <c r="E20" s="299">
        <v>260513.78</v>
      </c>
      <c r="F20" s="171">
        <f>31874103.3+E20</f>
        <v>32134617.080000002</v>
      </c>
      <c r="G20" s="171">
        <f>13662260.35-E20</f>
        <v>13401746.57</v>
      </c>
      <c r="I20" s="171" t="s">
        <v>404</v>
      </c>
      <c r="J20" s="171">
        <v>67469049.700000003</v>
      </c>
      <c r="K20" s="171">
        <f>J20*K19/J19</f>
        <v>98.486846383675456</v>
      </c>
      <c r="L20" s="171">
        <f>K20-K19</f>
        <v>-1.5131536163245443</v>
      </c>
    </row>
    <row r="21" spans="1:12" x14ac:dyDescent="0.25">
      <c r="A21" s="171" t="s">
        <v>407</v>
      </c>
      <c r="B21" s="171">
        <v>1691.2</v>
      </c>
      <c r="C21" s="171">
        <f>B21*C18/B18</f>
        <v>27.048510428678586</v>
      </c>
      <c r="D21" s="171" t="e">
        <f>D18*C21%</f>
        <v>#REF!</v>
      </c>
      <c r="E21" s="299">
        <v>280383.68</v>
      </c>
      <c r="F21" s="171">
        <f>34305169.43+E21</f>
        <v>34585553.109999999</v>
      </c>
      <c r="G21" s="171">
        <f>14704293.06-E21</f>
        <v>14423909.380000001</v>
      </c>
      <c r="K21" s="171">
        <f>K20/100</f>
        <v>0.98486846383675453</v>
      </c>
    </row>
    <row r="22" spans="1:12" x14ac:dyDescent="0.25">
      <c r="C22" s="171">
        <f>SUM(C19:C21)</f>
        <v>100</v>
      </c>
      <c r="D22" s="171" t="e">
        <f>SUM(D19:D21)</f>
        <v>#REF!</v>
      </c>
      <c r="E22" s="171">
        <f>SUM(E19:E21)</f>
        <v>1036595.6499999999</v>
      </c>
    </row>
    <row r="23" spans="1:12" x14ac:dyDescent="0.25">
      <c r="J23" s="287" t="s">
        <v>187</v>
      </c>
      <c r="K23" s="287" t="s">
        <v>188</v>
      </c>
    </row>
    <row r="24" spans="1:12" x14ac:dyDescent="0.25">
      <c r="I24" s="171">
        <f>SUM(J24:K24)</f>
        <v>86645165.930000007</v>
      </c>
      <c r="J24" s="171">
        <v>60649045.020000003</v>
      </c>
      <c r="K24" s="171">
        <v>25996120.91</v>
      </c>
    </row>
    <row r="25" spans="1:12" x14ac:dyDescent="0.25">
      <c r="I25" s="171">
        <f>SUM(J25:K25)</f>
        <v>86660194.402664438</v>
      </c>
      <c r="J25" s="171">
        <f>J24*K17</f>
        <v>61057434.736318201</v>
      </c>
      <c r="K25" s="171">
        <f>K24*K21</f>
        <v>25602759.666346233</v>
      </c>
    </row>
    <row r="26" spans="1:12" x14ac:dyDescent="0.25">
      <c r="I26" s="171">
        <f>I24-I25</f>
        <v>-15028.472664430737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F25" sqref="F25"/>
    </sheetView>
  </sheetViews>
  <sheetFormatPr defaultColWidth="9.140625" defaultRowHeight="15" x14ac:dyDescent="0.25"/>
  <cols>
    <col min="1" max="1" width="17.5703125" style="301" customWidth="1"/>
    <col min="2" max="2" width="22.7109375" style="301" customWidth="1"/>
    <col min="3" max="3" width="17.140625" style="301" customWidth="1"/>
    <col min="4" max="4" width="18.42578125" style="301" customWidth="1"/>
    <col min="5" max="5" width="16.140625" style="301" customWidth="1"/>
    <col min="6" max="16384" width="9.140625" style="301"/>
  </cols>
  <sheetData>
    <row r="2" spans="1:5" x14ac:dyDescent="0.25">
      <c r="D2" s="305"/>
      <c r="E2" s="305" t="s">
        <v>416</v>
      </c>
    </row>
    <row r="3" spans="1:5" s="302" customFormat="1" ht="90" x14ac:dyDescent="0.25">
      <c r="A3" s="303" t="s">
        <v>409</v>
      </c>
      <c r="B3" s="303" t="s">
        <v>415</v>
      </c>
      <c r="C3" s="303" t="s">
        <v>413</v>
      </c>
      <c r="D3" s="303" t="s">
        <v>414</v>
      </c>
      <c r="E3" s="303" t="s">
        <v>418</v>
      </c>
    </row>
    <row r="4" spans="1:5" x14ac:dyDescent="0.25">
      <c r="A4" s="300" t="s">
        <v>410</v>
      </c>
      <c r="B4" s="304">
        <v>70852586.879999995</v>
      </c>
      <c r="C4" s="304">
        <v>171292867.09</v>
      </c>
      <c r="D4" s="304">
        <v>100132864.62</v>
      </c>
      <c r="E4" s="304">
        <f>SUM(B4:D4)</f>
        <v>342278318.59000003</v>
      </c>
    </row>
    <row r="5" spans="1:5" x14ac:dyDescent="0.25">
      <c r="A5" s="300" t="s">
        <v>411</v>
      </c>
      <c r="B5" s="304">
        <v>42769351.039999999</v>
      </c>
      <c r="C5" s="304">
        <v>20014038.199999996</v>
      </c>
      <c r="D5" s="304">
        <v>9157380.040000001</v>
      </c>
      <c r="E5" s="304">
        <f>SUM(B5:D5)</f>
        <v>71940769.280000001</v>
      </c>
    </row>
    <row r="6" spans="1:5" x14ac:dyDescent="0.25">
      <c r="A6" s="300" t="s">
        <v>412</v>
      </c>
      <c r="B6" s="304">
        <v>3449118.42</v>
      </c>
      <c r="C6" s="304">
        <v>1511116.79</v>
      </c>
      <c r="D6" s="304">
        <v>420884.26</v>
      </c>
      <c r="E6" s="304">
        <f>SUM(B6:D6)</f>
        <v>5381119.4699999997</v>
      </c>
    </row>
    <row r="7" spans="1:5" x14ac:dyDescent="0.25">
      <c r="A7" s="306" t="s">
        <v>417</v>
      </c>
      <c r="B7" s="307">
        <f>SUM(B4:B6)</f>
        <v>117071056.33999999</v>
      </c>
      <c r="C7" s="307">
        <f>SUM(C4:C6)</f>
        <v>192818022.07999998</v>
      </c>
      <c r="D7" s="307">
        <f>SUM(D4:D6)</f>
        <v>109711128.92000002</v>
      </c>
      <c r="E7" s="307">
        <f>SUM(E4:E6)</f>
        <v>419600207.34000003</v>
      </c>
    </row>
    <row r="9" spans="1:5" x14ac:dyDescent="0.25">
      <c r="D9" s="305"/>
      <c r="E9" s="305" t="s">
        <v>416</v>
      </c>
    </row>
    <row r="10" spans="1:5" s="302" customFormat="1" ht="90" x14ac:dyDescent="0.25">
      <c r="A10" s="303" t="s">
        <v>409</v>
      </c>
      <c r="B10" s="303" t="s">
        <v>415</v>
      </c>
      <c r="C10" s="303" t="s">
        <v>413</v>
      </c>
      <c r="D10" s="303" t="s">
        <v>414</v>
      </c>
      <c r="E10" s="303" t="s">
        <v>418</v>
      </c>
    </row>
    <row r="11" spans="1:5" x14ac:dyDescent="0.25">
      <c r="A11" s="300" t="s">
        <v>410</v>
      </c>
      <c r="B11" s="304">
        <f>95948838.19-B4</f>
        <v>25096251.310000002</v>
      </c>
      <c r="C11" s="304">
        <f>231957297.4-C4</f>
        <v>60664430.310000002</v>
      </c>
      <c r="D11" s="304" t="e">
        <f>#REF!+#REF!+#REF!</f>
        <v>#REF!</v>
      </c>
      <c r="E11" s="304" t="e">
        <f>SUM(B11:D11)</f>
        <v>#REF!</v>
      </c>
    </row>
    <row r="12" spans="1:5" x14ac:dyDescent="0.25">
      <c r="A12" s="300" t="s">
        <v>411</v>
      </c>
      <c r="B12" s="304" t="e">
        <f>#REF!</f>
        <v>#REF!</v>
      </c>
      <c r="C12" s="304" t="e">
        <f>#REF!</f>
        <v>#REF!</v>
      </c>
      <c r="D12" s="304" t="e">
        <f>#REF!+#REF!+#REF!</f>
        <v>#REF!</v>
      </c>
      <c r="E12" s="304" t="e">
        <f>SUM(B12:D12)</f>
        <v>#REF!</v>
      </c>
    </row>
    <row r="13" spans="1:5" x14ac:dyDescent="0.25">
      <c r="A13" s="300" t="s">
        <v>412</v>
      </c>
      <c r="B13" s="304" t="e">
        <f>#REF!+#REF!</f>
        <v>#REF!</v>
      </c>
      <c r="C13" s="304" t="e">
        <f>#REF!</f>
        <v>#REF!</v>
      </c>
      <c r="D13" s="304" t="e">
        <f>#REF!+#REF!+#REF!+#REF!</f>
        <v>#REF!</v>
      </c>
      <c r="E13" s="304" t="e">
        <f>SUM(B13:D13)</f>
        <v>#REF!</v>
      </c>
    </row>
    <row r="14" spans="1:5" x14ac:dyDescent="0.25">
      <c r="A14" s="306" t="s">
        <v>417</v>
      </c>
      <c r="B14" s="307" t="e">
        <f>SUM(B11:B13)</f>
        <v>#REF!</v>
      </c>
      <c r="C14" s="307" t="e">
        <f>SUM(C11:C13)</f>
        <v>#REF!</v>
      </c>
      <c r="D14" s="307" t="e">
        <f>SUM(D11:D13)</f>
        <v>#REF!</v>
      </c>
      <c r="E14" s="307" t="e">
        <f>SUM(E11:E13)</f>
        <v>#REF!</v>
      </c>
    </row>
    <row r="16" spans="1:5" x14ac:dyDescent="0.25">
      <c r="B16" s="170"/>
      <c r="C16" s="170"/>
    </row>
    <row r="17" spans="2:3" x14ac:dyDescent="0.25">
      <c r="B17" s="170"/>
      <c r="C17" s="170"/>
    </row>
    <row r="18" spans="2:3" x14ac:dyDescent="0.25">
      <c r="B18" s="170"/>
      <c r="C18" s="17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62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" sqref="A3:A4"/>
    </sheetView>
  </sheetViews>
  <sheetFormatPr defaultRowHeight="15.75" x14ac:dyDescent="0.25"/>
  <cols>
    <col min="1" max="1" width="6.5703125" style="380" customWidth="1"/>
    <col min="2" max="2" width="43.7109375" style="380" customWidth="1"/>
    <col min="3" max="3" width="11" style="380" customWidth="1"/>
    <col min="4" max="4" width="44" style="380" customWidth="1"/>
    <col min="5" max="9" width="19" style="380" customWidth="1"/>
    <col min="10" max="19" width="16.85546875" style="380" customWidth="1"/>
    <col min="20" max="20" width="20.28515625" style="380" customWidth="1"/>
    <col min="21" max="24" width="16.42578125" style="380" customWidth="1"/>
    <col min="25" max="25" width="17.140625" style="380" customWidth="1"/>
    <col min="26" max="34" width="16.42578125" style="380" customWidth="1"/>
    <col min="35" max="35" width="19.140625" style="380" customWidth="1"/>
    <col min="36" max="39" width="16.85546875" style="380" customWidth="1"/>
    <col min="40" max="40" width="19.140625" style="380" customWidth="1"/>
    <col min="41" max="44" width="16.85546875" style="380" customWidth="1"/>
    <col min="45" max="45" width="19.140625" style="380" customWidth="1"/>
    <col min="46" max="49" width="16.85546875" style="380" customWidth="1"/>
    <col min="50" max="50" width="19.140625" style="380" customWidth="1"/>
    <col min="51" max="54" width="16.85546875" style="380" customWidth="1"/>
    <col min="55" max="55" width="20.140625" style="380" customWidth="1"/>
    <col min="56" max="58" width="16.85546875" style="380" customWidth="1"/>
    <col min="59" max="59" width="19.5703125" style="380" customWidth="1"/>
    <col min="60" max="60" width="18.42578125" style="380" customWidth="1"/>
    <col min="61" max="61" width="18" style="380" customWidth="1"/>
    <col min="62" max="62" width="16.85546875" style="380" customWidth="1"/>
    <col min="63" max="63" width="18.28515625" style="380" customWidth="1"/>
    <col min="64" max="64" width="19.5703125" style="380" customWidth="1"/>
    <col min="65" max="68" width="16.85546875" style="380" customWidth="1"/>
    <col min="69" max="69" width="19.140625" style="380" customWidth="1"/>
    <col min="70" max="73" width="16.85546875" style="380" customWidth="1"/>
    <col min="74" max="74" width="19.28515625" style="380" customWidth="1"/>
    <col min="75" max="16384" width="9.140625" style="363"/>
  </cols>
  <sheetData>
    <row r="1" spans="1:74" ht="10.9" customHeight="1" x14ac:dyDescent="0.25">
      <c r="A1" s="362" t="s">
        <v>748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</row>
    <row r="2" spans="1:74" ht="9" customHeight="1" x14ac:dyDescent="0.2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</row>
    <row r="3" spans="1:74" ht="28.15" customHeight="1" x14ac:dyDescent="0.25">
      <c r="A3" s="365" t="s">
        <v>30</v>
      </c>
      <c r="B3" s="366" t="s">
        <v>28</v>
      </c>
      <c r="C3" s="366" t="s">
        <v>26</v>
      </c>
      <c r="D3" s="367" t="s">
        <v>675</v>
      </c>
      <c r="E3" s="366" t="s">
        <v>676</v>
      </c>
      <c r="F3" s="368" t="s">
        <v>439</v>
      </c>
      <c r="G3" s="369"/>
      <c r="H3" s="369"/>
      <c r="I3" s="370"/>
      <c r="J3" s="366" t="s">
        <v>682</v>
      </c>
      <c r="K3" s="366" t="s">
        <v>187</v>
      </c>
      <c r="L3" s="366" t="s">
        <v>188</v>
      </c>
      <c r="M3" s="366" t="s">
        <v>189</v>
      </c>
      <c r="N3" s="366" t="s">
        <v>192</v>
      </c>
      <c r="O3" s="366" t="s">
        <v>681</v>
      </c>
      <c r="P3" s="366" t="s">
        <v>187</v>
      </c>
      <c r="Q3" s="366" t="s">
        <v>188</v>
      </c>
      <c r="R3" s="366" t="s">
        <v>189</v>
      </c>
      <c r="S3" s="366" t="s">
        <v>192</v>
      </c>
      <c r="T3" s="366" t="s">
        <v>680</v>
      </c>
      <c r="U3" s="366" t="s">
        <v>187</v>
      </c>
      <c r="V3" s="366" t="s">
        <v>188</v>
      </c>
      <c r="W3" s="366" t="s">
        <v>189</v>
      </c>
      <c r="X3" s="366" t="s">
        <v>192</v>
      </c>
      <c r="Y3" s="366" t="s">
        <v>679</v>
      </c>
      <c r="Z3" s="366" t="s">
        <v>187</v>
      </c>
      <c r="AA3" s="366" t="s">
        <v>188</v>
      </c>
      <c r="AB3" s="366" t="s">
        <v>189</v>
      </c>
      <c r="AC3" s="366" t="s">
        <v>192</v>
      </c>
      <c r="AD3" s="366" t="s">
        <v>678</v>
      </c>
      <c r="AE3" s="366" t="s">
        <v>187</v>
      </c>
      <c r="AF3" s="366" t="s">
        <v>188</v>
      </c>
      <c r="AG3" s="366" t="s">
        <v>189</v>
      </c>
      <c r="AH3" s="366" t="s">
        <v>192</v>
      </c>
      <c r="AI3" s="366" t="s">
        <v>677</v>
      </c>
      <c r="AJ3" s="366" t="s">
        <v>187</v>
      </c>
      <c r="AK3" s="366" t="s">
        <v>188</v>
      </c>
      <c r="AL3" s="366" t="s">
        <v>189</v>
      </c>
      <c r="AM3" s="371" t="s">
        <v>192</v>
      </c>
      <c r="AN3" s="366" t="s">
        <v>704</v>
      </c>
      <c r="AO3" s="366" t="s">
        <v>187</v>
      </c>
      <c r="AP3" s="366" t="s">
        <v>188</v>
      </c>
      <c r="AQ3" s="366" t="s">
        <v>189</v>
      </c>
      <c r="AR3" s="371" t="s">
        <v>192</v>
      </c>
      <c r="AS3" s="366" t="s">
        <v>740</v>
      </c>
      <c r="AT3" s="366" t="s">
        <v>187</v>
      </c>
      <c r="AU3" s="366" t="s">
        <v>188</v>
      </c>
      <c r="AV3" s="366" t="s">
        <v>189</v>
      </c>
      <c r="AW3" s="371" t="s">
        <v>192</v>
      </c>
      <c r="AX3" s="366" t="s">
        <v>743</v>
      </c>
      <c r="AY3" s="366" t="s">
        <v>187</v>
      </c>
      <c r="AZ3" s="366" t="s">
        <v>188</v>
      </c>
      <c r="BA3" s="366" t="s">
        <v>189</v>
      </c>
      <c r="BB3" s="371" t="s">
        <v>192</v>
      </c>
      <c r="BC3" s="366" t="s">
        <v>744</v>
      </c>
      <c r="BD3" s="366" t="s">
        <v>664</v>
      </c>
      <c r="BE3" s="366" t="s">
        <v>665</v>
      </c>
      <c r="BF3" s="366" t="s">
        <v>666</v>
      </c>
      <c r="BG3" s="366" t="s">
        <v>745</v>
      </c>
      <c r="BH3" s="366" t="s">
        <v>187</v>
      </c>
      <c r="BI3" s="366" t="s">
        <v>188</v>
      </c>
      <c r="BJ3" s="366" t="s">
        <v>189</v>
      </c>
      <c r="BK3" s="366" t="s">
        <v>192</v>
      </c>
      <c r="BL3" s="366" t="s">
        <v>746</v>
      </c>
      <c r="BM3" s="366" t="s">
        <v>187</v>
      </c>
      <c r="BN3" s="366" t="s">
        <v>188</v>
      </c>
      <c r="BO3" s="366" t="s">
        <v>189</v>
      </c>
      <c r="BP3" s="366" t="s">
        <v>192</v>
      </c>
      <c r="BQ3" s="366" t="s">
        <v>749</v>
      </c>
      <c r="BR3" s="366" t="s">
        <v>187</v>
      </c>
      <c r="BS3" s="366" t="s">
        <v>188</v>
      </c>
      <c r="BT3" s="366" t="s">
        <v>189</v>
      </c>
      <c r="BU3" s="371" t="s">
        <v>192</v>
      </c>
      <c r="BV3" s="372" t="s">
        <v>750</v>
      </c>
    </row>
    <row r="4" spans="1:74" ht="114" customHeight="1" x14ac:dyDescent="0.25">
      <c r="A4" s="365"/>
      <c r="B4" s="373"/>
      <c r="C4" s="373"/>
      <c r="D4" s="374" t="s">
        <v>42</v>
      </c>
      <c r="E4" s="373"/>
      <c r="F4" s="375" t="s">
        <v>187</v>
      </c>
      <c r="G4" s="375" t="s">
        <v>188</v>
      </c>
      <c r="H4" s="375" t="s">
        <v>189</v>
      </c>
      <c r="I4" s="375" t="s">
        <v>192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6"/>
      <c r="AN4" s="373"/>
      <c r="AO4" s="373"/>
      <c r="AP4" s="373"/>
      <c r="AQ4" s="373"/>
      <c r="AR4" s="376"/>
      <c r="AS4" s="373"/>
      <c r="AT4" s="373"/>
      <c r="AU4" s="373"/>
      <c r="AV4" s="373"/>
      <c r="AW4" s="376"/>
      <c r="AX4" s="373"/>
      <c r="AY4" s="373"/>
      <c r="AZ4" s="373"/>
      <c r="BA4" s="373"/>
      <c r="BB4" s="376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6"/>
      <c r="BV4" s="372"/>
    </row>
    <row r="5" spans="1:74" x14ac:dyDescent="0.25">
      <c r="A5" s="374">
        <v>1</v>
      </c>
      <c r="B5" s="374">
        <v>2</v>
      </c>
      <c r="C5" s="374">
        <v>3</v>
      </c>
      <c r="D5" s="377">
        <v>4</v>
      </c>
      <c r="E5" s="374">
        <v>5</v>
      </c>
      <c r="F5" s="374">
        <v>6</v>
      </c>
      <c r="G5" s="374">
        <v>7</v>
      </c>
      <c r="H5" s="374">
        <v>8</v>
      </c>
      <c r="I5" s="374">
        <v>9</v>
      </c>
      <c r="J5" s="374">
        <v>10</v>
      </c>
      <c r="K5" s="374">
        <v>11</v>
      </c>
      <c r="L5" s="374">
        <v>12</v>
      </c>
      <c r="M5" s="374">
        <v>13</v>
      </c>
      <c r="N5" s="374">
        <v>14</v>
      </c>
      <c r="O5" s="374">
        <v>15</v>
      </c>
      <c r="P5" s="374">
        <v>16</v>
      </c>
      <c r="Q5" s="374">
        <v>17</v>
      </c>
      <c r="R5" s="374">
        <v>18</v>
      </c>
      <c r="S5" s="374">
        <v>19</v>
      </c>
      <c r="T5" s="374">
        <v>20</v>
      </c>
      <c r="U5" s="374">
        <v>21</v>
      </c>
      <c r="V5" s="374">
        <v>22</v>
      </c>
      <c r="W5" s="374">
        <v>23</v>
      </c>
      <c r="X5" s="374">
        <v>24</v>
      </c>
      <c r="Y5" s="374">
        <v>25</v>
      </c>
      <c r="Z5" s="374">
        <v>26</v>
      </c>
      <c r="AA5" s="374">
        <v>27</v>
      </c>
      <c r="AB5" s="374">
        <v>28</v>
      </c>
      <c r="AC5" s="374">
        <v>29</v>
      </c>
      <c r="AD5" s="374">
        <v>30</v>
      </c>
      <c r="AE5" s="374">
        <v>31</v>
      </c>
      <c r="AF5" s="374">
        <v>32</v>
      </c>
      <c r="AG5" s="374">
        <v>33</v>
      </c>
      <c r="AH5" s="374">
        <v>34</v>
      </c>
      <c r="AI5" s="374">
        <v>35</v>
      </c>
      <c r="AJ5" s="374">
        <v>36</v>
      </c>
      <c r="AK5" s="374">
        <v>37</v>
      </c>
      <c r="AL5" s="374">
        <v>38</v>
      </c>
      <c r="AM5" s="374">
        <v>39</v>
      </c>
      <c r="AN5" s="374">
        <v>40</v>
      </c>
      <c r="AO5" s="374">
        <v>41</v>
      </c>
      <c r="AP5" s="374">
        <v>42</v>
      </c>
      <c r="AQ5" s="374">
        <v>43</v>
      </c>
      <c r="AR5" s="374">
        <v>44</v>
      </c>
      <c r="AS5" s="374">
        <v>45</v>
      </c>
      <c r="AT5" s="374">
        <v>46</v>
      </c>
      <c r="AU5" s="374">
        <v>47</v>
      </c>
      <c r="AV5" s="374">
        <v>48</v>
      </c>
      <c r="AW5" s="374">
        <v>49</v>
      </c>
      <c r="AX5" s="374">
        <v>50</v>
      </c>
      <c r="AY5" s="374">
        <v>51</v>
      </c>
      <c r="AZ5" s="374">
        <v>52</v>
      </c>
      <c r="BA5" s="374">
        <v>53</v>
      </c>
      <c r="BB5" s="374">
        <v>54</v>
      </c>
      <c r="BC5" s="374">
        <v>55</v>
      </c>
      <c r="BD5" s="374">
        <v>56</v>
      </c>
      <c r="BE5" s="374">
        <v>57</v>
      </c>
      <c r="BF5" s="374">
        <v>58</v>
      </c>
      <c r="BG5" s="374">
        <v>59</v>
      </c>
      <c r="BH5" s="374">
        <v>60</v>
      </c>
      <c r="BI5" s="374">
        <v>61</v>
      </c>
      <c r="BJ5" s="374">
        <v>62</v>
      </c>
      <c r="BK5" s="374">
        <v>63</v>
      </c>
      <c r="BL5" s="374">
        <v>64</v>
      </c>
      <c r="BM5" s="374">
        <v>65</v>
      </c>
      <c r="BN5" s="374">
        <v>66</v>
      </c>
      <c r="BO5" s="374">
        <v>67</v>
      </c>
      <c r="BP5" s="374">
        <v>68</v>
      </c>
      <c r="BQ5" s="374">
        <v>69</v>
      </c>
      <c r="BR5" s="374">
        <v>70</v>
      </c>
      <c r="BS5" s="374">
        <v>71</v>
      </c>
      <c r="BT5" s="374">
        <v>72</v>
      </c>
      <c r="BU5" s="374">
        <v>73</v>
      </c>
      <c r="BV5" s="374">
        <v>74</v>
      </c>
    </row>
    <row r="6" spans="1:74" ht="24" customHeight="1" x14ac:dyDescent="0.25">
      <c r="A6" s="368" t="s">
        <v>19</v>
      </c>
      <c r="B6" s="369"/>
      <c r="C6" s="369"/>
      <c r="D6" s="378"/>
      <c r="E6" s="378"/>
      <c r="F6" s="378"/>
      <c r="G6" s="378"/>
      <c r="H6" s="378"/>
      <c r="I6" s="378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BC6" s="378"/>
      <c r="BD6" s="378"/>
      <c r="BE6" s="381"/>
      <c r="BF6" s="381"/>
      <c r="BV6" s="374"/>
    </row>
    <row r="7" spans="1:74" ht="38.450000000000003" customHeight="1" x14ac:dyDescent="0.25">
      <c r="A7" s="382" t="s">
        <v>34</v>
      </c>
      <c r="B7" s="383" t="s">
        <v>751</v>
      </c>
      <c r="C7" s="374"/>
      <c r="D7" s="383"/>
      <c r="E7" s="384">
        <f>SUM(E9:E42)</f>
        <v>86650724.689999998</v>
      </c>
      <c r="F7" s="384">
        <f t="shared" ref="F7:AR7" si="0">SUM(F9:F42)</f>
        <v>13047705.550000001</v>
      </c>
      <c r="G7" s="384">
        <f t="shared" si="0"/>
        <v>31542961.629999999</v>
      </c>
      <c r="H7" s="384">
        <f t="shared" si="0"/>
        <v>3783592.79</v>
      </c>
      <c r="I7" s="384">
        <f t="shared" si="0"/>
        <v>38276464.719999999</v>
      </c>
      <c r="J7" s="384">
        <f t="shared" si="0"/>
        <v>178991.49</v>
      </c>
      <c r="K7" s="384">
        <f t="shared" si="0"/>
        <v>0</v>
      </c>
      <c r="L7" s="384">
        <f t="shared" si="0"/>
        <v>0</v>
      </c>
      <c r="M7" s="384">
        <f t="shared" si="0"/>
        <v>0</v>
      </c>
      <c r="N7" s="384">
        <f t="shared" si="0"/>
        <v>178991.49</v>
      </c>
      <c r="O7" s="384">
        <f t="shared" si="0"/>
        <v>5492928.4500000011</v>
      </c>
      <c r="P7" s="384">
        <f t="shared" si="0"/>
        <v>585411.52</v>
      </c>
      <c r="Q7" s="384">
        <f t="shared" si="0"/>
        <v>1415449.94</v>
      </c>
      <c r="R7" s="384">
        <f t="shared" si="0"/>
        <v>169741.13</v>
      </c>
      <c r="S7" s="384">
        <f t="shared" si="0"/>
        <v>3322325.86</v>
      </c>
      <c r="T7" s="384">
        <f t="shared" si="0"/>
        <v>28121748.409999996</v>
      </c>
      <c r="U7" s="384">
        <f t="shared" si="0"/>
        <v>7550580.9299999997</v>
      </c>
      <c r="V7" s="384">
        <f t="shared" si="0"/>
        <v>18256336.050000001</v>
      </c>
      <c r="W7" s="384">
        <f t="shared" si="0"/>
        <v>2189304.52</v>
      </c>
      <c r="X7" s="384">
        <f t="shared" si="0"/>
        <v>125526.91</v>
      </c>
      <c r="Y7" s="384">
        <f t="shared" si="0"/>
        <v>33533440.410000004</v>
      </c>
      <c r="Z7" s="384">
        <f t="shared" si="0"/>
        <v>4911713.0999999996</v>
      </c>
      <c r="AA7" s="384">
        <f t="shared" si="0"/>
        <v>11871175.640000001</v>
      </c>
      <c r="AB7" s="384">
        <f t="shared" si="0"/>
        <v>1424547.1400000001</v>
      </c>
      <c r="AC7" s="384">
        <f t="shared" si="0"/>
        <v>15326004.529999999</v>
      </c>
      <c r="AD7" s="384">
        <f t="shared" si="0"/>
        <v>1829955.08</v>
      </c>
      <c r="AE7" s="384">
        <f t="shared" si="0"/>
        <v>0</v>
      </c>
      <c r="AF7" s="384">
        <f t="shared" si="0"/>
        <v>0</v>
      </c>
      <c r="AG7" s="384">
        <f t="shared" si="0"/>
        <v>0</v>
      </c>
      <c r="AH7" s="384">
        <f t="shared" si="0"/>
        <v>1829955.08</v>
      </c>
      <c r="AI7" s="384">
        <f t="shared" si="0"/>
        <v>16326511.6</v>
      </c>
      <c r="AJ7" s="384">
        <f t="shared" si="0"/>
        <v>0</v>
      </c>
      <c r="AK7" s="384">
        <f t="shared" si="0"/>
        <v>0</v>
      </c>
      <c r="AL7" s="384">
        <f t="shared" si="0"/>
        <v>0</v>
      </c>
      <c r="AM7" s="384">
        <f t="shared" si="0"/>
        <v>16326511.6</v>
      </c>
      <c r="AN7" s="384">
        <f t="shared" si="0"/>
        <v>1690.14</v>
      </c>
      <c r="AO7" s="384">
        <f t="shared" si="0"/>
        <v>0</v>
      </c>
      <c r="AP7" s="384">
        <f t="shared" si="0"/>
        <v>0</v>
      </c>
      <c r="AQ7" s="384">
        <f t="shared" si="0"/>
        <v>0</v>
      </c>
      <c r="AR7" s="384">
        <f t="shared" si="0"/>
        <v>1690.14</v>
      </c>
      <c r="AS7" s="384">
        <v>1144981.0999999999</v>
      </c>
      <c r="AT7" s="384">
        <v>0</v>
      </c>
      <c r="AU7" s="384">
        <v>0</v>
      </c>
      <c r="AV7" s="384">
        <v>0</v>
      </c>
      <c r="AW7" s="384">
        <v>1144981.0999999999</v>
      </c>
      <c r="AX7" s="384">
        <f t="shared" ref="AX7:BB7" si="1">SUM(AX9:AX42)</f>
        <v>0</v>
      </c>
      <c r="AY7" s="384">
        <f t="shared" si="1"/>
        <v>0</v>
      </c>
      <c r="AZ7" s="384">
        <f t="shared" si="1"/>
        <v>0</v>
      </c>
      <c r="BA7" s="384">
        <f t="shared" si="1"/>
        <v>0</v>
      </c>
      <c r="BB7" s="384">
        <f t="shared" si="1"/>
        <v>0</v>
      </c>
      <c r="BC7" s="384">
        <f>SUM(BC9:BC42)</f>
        <v>20478.009999990565</v>
      </c>
      <c r="BD7" s="384">
        <f>BD8</f>
        <v>1422.95</v>
      </c>
      <c r="BE7" s="384">
        <f>BE8</f>
        <v>1447</v>
      </c>
      <c r="BF7" s="384">
        <f>BF8</f>
        <v>1610.1</v>
      </c>
      <c r="BG7" s="384">
        <f t="shared" ref="BG7:BV7" si="2">SUM(BG9:BG42)</f>
        <v>0</v>
      </c>
      <c r="BH7" s="384">
        <f t="shared" si="2"/>
        <v>0</v>
      </c>
      <c r="BI7" s="384">
        <f t="shared" si="2"/>
        <v>0</v>
      </c>
      <c r="BJ7" s="384">
        <f t="shared" si="2"/>
        <v>0</v>
      </c>
      <c r="BK7" s="384">
        <f t="shared" si="2"/>
        <v>0</v>
      </c>
      <c r="BL7" s="384">
        <f t="shared" si="2"/>
        <v>20478.009999999995</v>
      </c>
      <c r="BM7" s="384">
        <f t="shared" si="2"/>
        <v>0</v>
      </c>
      <c r="BN7" s="384">
        <f t="shared" si="2"/>
        <v>0</v>
      </c>
      <c r="BO7" s="384">
        <f t="shared" si="2"/>
        <v>0</v>
      </c>
      <c r="BP7" s="384">
        <f>SUM(BP9:BP42)</f>
        <v>20478.009999999995</v>
      </c>
      <c r="BQ7" s="384">
        <f t="shared" si="2"/>
        <v>0</v>
      </c>
      <c r="BR7" s="384">
        <f t="shared" si="2"/>
        <v>0</v>
      </c>
      <c r="BS7" s="384">
        <f t="shared" si="2"/>
        <v>0</v>
      </c>
      <c r="BT7" s="384">
        <f t="shared" si="2"/>
        <v>0</v>
      </c>
      <c r="BU7" s="384">
        <f t="shared" si="2"/>
        <v>0</v>
      </c>
      <c r="BV7" s="384">
        <f t="shared" si="2"/>
        <v>20478.009999990565</v>
      </c>
    </row>
    <row r="8" spans="1:74" ht="33" customHeight="1" x14ac:dyDescent="0.25">
      <c r="A8" s="382" t="s">
        <v>43</v>
      </c>
      <c r="B8" s="383" t="s">
        <v>32</v>
      </c>
      <c r="C8" s="374"/>
      <c r="D8" s="363"/>
      <c r="E8" s="384">
        <f>E9+E10</f>
        <v>77839242.11999999</v>
      </c>
      <c r="F8" s="384">
        <f t="shared" ref="F8:BC8" si="3">F9+F10</f>
        <v>13047705.550000001</v>
      </c>
      <c r="G8" s="384">
        <f t="shared" si="3"/>
        <v>31542961.629999999</v>
      </c>
      <c r="H8" s="384">
        <f t="shared" si="3"/>
        <v>3783592.79</v>
      </c>
      <c r="I8" s="384">
        <f t="shared" si="3"/>
        <v>29464982.149999999</v>
      </c>
      <c r="J8" s="384">
        <f t="shared" si="3"/>
        <v>0</v>
      </c>
      <c r="K8" s="384">
        <f t="shared" si="3"/>
        <v>0</v>
      </c>
      <c r="L8" s="384">
        <f t="shared" si="3"/>
        <v>0</v>
      </c>
      <c r="M8" s="384">
        <f t="shared" si="3"/>
        <v>0</v>
      </c>
      <c r="N8" s="384">
        <f t="shared" si="3"/>
        <v>0</v>
      </c>
      <c r="O8" s="384">
        <f t="shared" si="3"/>
        <v>2170602.59</v>
      </c>
      <c r="P8" s="384">
        <f t="shared" si="3"/>
        <v>585411.52</v>
      </c>
      <c r="Q8" s="384">
        <f t="shared" si="3"/>
        <v>1415449.94</v>
      </c>
      <c r="R8" s="384">
        <f t="shared" si="3"/>
        <v>169741.13</v>
      </c>
      <c r="S8" s="384">
        <f t="shared" si="3"/>
        <v>0</v>
      </c>
      <c r="T8" s="384">
        <f t="shared" si="3"/>
        <v>27996221.5</v>
      </c>
      <c r="U8" s="384">
        <f t="shared" si="3"/>
        <v>7550580.9299999997</v>
      </c>
      <c r="V8" s="384">
        <f t="shared" si="3"/>
        <v>18256336.050000001</v>
      </c>
      <c r="W8" s="384">
        <f t="shared" si="3"/>
        <v>2189304.52</v>
      </c>
      <c r="X8" s="384">
        <f t="shared" si="3"/>
        <v>0</v>
      </c>
      <c r="Y8" s="384">
        <f t="shared" si="3"/>
        <v>31488736.430000003</v>
      </c>
      <c r="Z8" s="384">
        <f t="shared" si="3"/>
        <v>4911713.0999999996</v>
      </c>
      <c r="AA8" s="384">
        <f t="shared" si="3"/>
        <v>11871175.640000001</v>
      </c>
      <c r="AB8" s="384">
        <f t="shared" si="3"/>
        <v>1424547.1400000001</v>
      </c>
      <c r="AC8" s="384">
        <f t="shared" si="3"/>
        <v>13281300.550000001</v>
      </c>
      <c r="AD8" s="384">
        <f t="shared" si="3"/>
        <v>0</v>
      </c>
      <c r="AE8" s="384">
        <f t="shared" si="3"/>
        <v>0</v>
      </c>
      <c r="AF8" s="384">
        <f t="shared" si="3"/>
        <v>0</v>
      </c>
      <c r="AG8" s="384">
        <f t="shared" si="3"/>
        <v>0</v>
      </c>
      <c r="AH8" s="384">
        <f t="shared" si="3"/>
        <v>0</v>
      </c>
      <c r="AI8" s="384">
        <f t="shared" si="3"/>
        <v>16183681.6</v>
      </c>
      <c r="AJ8" s="384">
        <f t="shared" si="3"/>
        <v>0</v>
      </c>
      <c r="AK8" s="384">
        <f t="shared" si="3"/>
        <v>0</v>
      </c>
      <c r="AL8" s="384">
        <f t="shared" si="3"/>
        <v>0</v>
      </c>
      <c r="AM8" s="384">
        <f t="shared" si="3"/>
        <v>16183681.6</v>
      </c>
      <c r="AN8" s="384">
        <f t="shared" si="3"/>
        <v>0</v>
      </c>
      <c r="AO8" s="384">
        <f t="shared" si="3"/>
        <v>0</v>
      </c>
      <c r="AP8" s="384">
        <f t="shared" si="3"/>
        <v>0</v>
      </c>
      <c r="AQ8" s="384">
        <f t="shared" si="3"/>
        <v>0</v>
      </c>
      <c r="AR8" s="384">
        <f t="shared" si="3"/>
        <v>0</v>
      </c>
      <c r="AS8" s="384">
        <v>0</v>
      </c>
      <c r="AT8" s="384">
        <v>0</v>
      </c>
      <c r="AU8" s="384">
        <v>0</v>
      </c>
      <c r="AV8" s="384">
        <v>0</v>
      </c>
      <c r="AW8" s="384">
        <v>0</v>
      </c>
      <c r="AX8" s="384">
        <f t="shared" ref="AX8:BA8" si="4">AX9+AX10</f>
        <v>0</v>
      </c>
      <c r="AY8" s="384">
        <f t="shared" si="4"/>
        <v>0</v>
      </c>
      <c r="AZ8" s="384">
        <f t="shared" si="4"/>
        <v>0</v>
      </c>
      <c r="BA8" s="384">
        <f t="shared" si="4"/>
        <v>0</v>
      </c>
      <c r="BB8" s="384">
        <f>BB9+BB10</f>
        <v>0</v>
      </c>
      <c r="BC8" s="384">
        <f t="shared" si="3"/>
        <v>-9.3132257461547852E-9</v>
      </c>
      <c r="BD8" s="384">
        <v>1422.95</v>
      </c>
      <c r="BE8" s="384">
        <v>1447</v>
      </c>
      <c r="BF8" s="384">
        <v>1610.1</v>
      </c>
      <c r="BG8" s="384">
        <f>BG9+BG10</f>
        <v>0</v>
      </c>
      <c r="BH8" s="384"/>
      <c r="BI8" s="384"/>
      <c r="BJ8" s="384"/>
      <c r="BK8" s="384"/>
      <c r="BL8" s="384">
        <f>BL9+BL10</f>
        <v>0</v>
      </c>
      <c r="BM8" s="384"/>
      <c r="BN8" s="384"/>
      <c r="BO8" s="384"/>
      <c r="BP8" s="384"/>
      <c r="BQ8" s="384">
        <f t="shared" ref="BQ8:BT8" si="5">BQ9+BQ10</f>
        <v>0</v>
      </c>
      <c r="BR8" s="384">
        <f t="shared" si="5"/>
        <v>0</v>
      </c>
      <c r="BS8" s="384">
        <f t="shared" si="5"/>
        <v>0</v>
      </c>
      <c r="BT8" s="384">
        <f t="shared" si="5"/>
        <v>0</v>
      </c>
      <c r="BU8" s="384">
        <f>BU9+BU10</f>
        <v>0</v>
      </c>
      <c r="BV8" s="384">
        <f>BV9+BV10</f>
        <v>-9.3132257461547852E-9</v>
      </c>
    </row>
    <row r="9" spans="1:74" ht="162.6" customHeight="1" x14ac:dyDescent="0.25">
      <c r="A9" s="382" t="s">
        <v>661</v>
      </c>
      <c r="B9" s="383" t="s">
        <v>32</v>
      </c>
      <c r="C9" s="374">
        <v>310</v>
      </c>
      <c r="D9" s="385" t="s">
        <v>663</v>
      </c>
      <c r="E9" s="384">
        <f>F9+G9+H9+I9</f>
        <v>74999454.549999997</v>
      </c>
      <c r="F9" s="384">
        <v>13047705.550000001</v>
      </c>
      <c r="G9" s="384">
        <v>31542961.629999999</v>
      </c>
      <c r="H9" s="384">
        <v>3783592.79</v>
      </c>
      <c r="I9" s="384">
        <v>26625194.579999998</v>
      </c>
      <c r="J9" s="384">
        <f>K9+L9+M9+N9</f>
        <v>0</v>
      </c>
      <c r="K9" s="384"/>
      <c r="L9" s="384"/>
      <c r="M9" s="384"/>
      <c r="N9" s="384"/>
      <c r="O9" s="384">
        <f>P9+Q9+R9+S9</f>
        <v>2170602.59</v>
      </c>
      <c r="P9" s="384">
        <v>585411.52</v>
      </c>
      <c r="Q9" s="384">
        <v>1415449.94</v>
      </c>
      <c r="R9" s="384">
        <v>169741.13</v>
      </c>
      <c r="S9" s="384">
        <v>0</v>
      </c>
      <c r="T9" s="384">
        <f t="shared" ref="T9:T30" si="6">U9+V9+W9+X9</f>
        <v>27996221.5</v>
      </c>
      <c r="U9" s="384">
        <f>8245452.64-694871.71</f>
        <v>7550580.9299999997</v>
      </c>
      <c r="V9" s="384">
        <f>19936446.71-1680110.66</f>
        <v>18256336.050000001</v>
      </c>
      <c r="W9" s="384">
        <f>2390783.82-201479.3</f>
        <v>2189304.52</v>
      </c>
      <c r="X9" s="384">
        <v>0</v>
      </c>
      <c r="Y9" s="384">
        <f>Z9+AA9+AB9+AC9</f>
        <v>31488736.430000003</v>
      </c>
      <c r="Z9" s="384">
        <v>4911713.0999999996</v>
      </c>
      <c r="AA9" s="384">
        <v>11871175.640000001</v>
      </c>
      <c r="AB9" s="384">
        <v>1424547.1400000001</v>
      </c>
      <c r="AC9" s="386">
        <f>12804650.48+476650.07</f>
        <v>13281300.550000001</v>
      </c>
      <c r="AD9" s="384">
        <f t="shared" ref="AD9:AD29" si="7">SUM(AE9:AH9)</f>
        <v>0</v>
      </c>
      <c r="AE9" s="384"/>
      <c r="AF9" s="384">
        <v>0</v>
      </c>
      <c r="AG9" s="384"/>
      <c r="AH9" s="386"/>
      <c r="AI9" s="384">
        <f>SUM(AJ9:AM9)</f>
        <v>13343894.029999999</v>
      </c>
      <c r="AJ9" s="384"/>
      <c r="AK9" s="384"/>
      <c r="AL9" s="384"/>
      <c r="AM9" s="386">
        <v>13343894.029999999</v>
      </c>
      <c r="AN9" s="384">
        <v>0</v>
      </c>
      <c r="AO9" s="384"/>
      <c r="AP9" s="384"/>
      <c r="AQ9" s="384"/>
      <c r="AR9" s="386"/>
      <c r="AS9" s="384">
        <v>0</v>
      </c>
      <c r="AT9" s="384"/>
      <c r="AU9" s="384"/>
      <c r="AV9" s="384"/>
      <c r="AW9" s="386"/>
      <c r="AX9" s="384">
        <f t="shared" ref="AX9:AX29" si="8">SUM(AY9:BB9)</f>
        <v>0</v>
      </c>
      <c r="AY9" s="384"/>
      <c r="AZ9" s="384"/>
      <c r="BA9" s="384"/>
      <c r="BB9" s="386"/>
      <c r="BC9" s="384">
        <f>E9-J9-O9-T9-Y9-AD9-AI9-AN9-AS9-AX9</f>
        <v>-9.3132257461547852E-9</v>
      </c>
      <c r="BD9" s="384">
        <v>1422.95</v>
      </c>
      <c r="BE9" s="384">
        <v>1447</v>
      </c>
      <c r="BF9" s="384">
        <v>1610.1</v>
      </c>
      <c r="BG9" s="384">
        <f>SUM(BH9:BK9)</f>
        <v>0</v>
      </c>
      <c r="BH9" s="384"/>
      <c r="BI9" s="384"/>
      <c r="BJ9" s="384"/>
      <c r="BK9" s="384"/>
      <c r="BL9" s="384">
        <f>BM9+BN9+BO9+BP9</f>
        <v>0</v>
      </c>
      <c r="BM9" s="384"/>
      <c r="BN9" s="384"/>
      <c r="BO9" s="384"/>
      <c r="BP9" s="384"/>
      <c r="BQ9" s="384">
        <f t="shared" ref="BQ9:BQ29" si="9">SUM(BR9:BU9)</f>
        <v>0</v>
      </c>
      <c r="BR9" s="384"/>
      <c r="BS9" s="384"/>
      <c r="BT9" s="384"/>
      <c r="BU9" s="386"/>
      <c r="BV9" s="384">
        <f t="shared" ref="BV9:BV42" si="10">BC9-BQ9</f>
        <v>-9.3132257461547852E-9</v>
      </c>
    </row>
    <row r="10" spans="1:74" ht="181.9" customHeight="1" x14ac:dyDescent="0.25">
      <c r="A10" s="382" t="s">
        <v>662</v>
      </c>
      <c r="B10" s="383" t="s">
        <v>32</v>
      </c>
      <c r="C10" s="374">
        <v>310</v>
      </c>
      <c r="D10" s="387" t="s">
        <v>747</v>
      </c>
      <c r="E10" s="384">
        <f>F10+G10+H10+I10</f>
        <v>2839787.57</v>
      </c>
      <c r="F10" s="384"/>
      <c r="G10" s="384"/>
      <c r="H10" s="384"/>
      <c r="I10" s="384">
        <v>2839787.57</v>
      </c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6"/>
      <c r="AD10" s="384"/>
      <c r="AE10" s="384"/>
      <c r="AF10" s="384"/>
      <c r="AG10" s="384"/>
      <c r="AH10" s="386"/>
      <c r="AI10" s="384">
        <f t="shared" ref="AI10:AI29" si="11">SUM(AJ10:AM10)</f>
        <v>2839787.57</v>
      </c>
      <c r="AJ10" s="384"/>
      <c r="AK10" s="384"/>
      <c r="AL10" s="384"/>
      <c r="AM10" s="386">
        <v>2839787.57</v>
      </c>
      <c r="AN10" s="384">
        <v>0</v>
      </c>
      <c r="AO10" s="384"/>
      <c r="AP10" s="384"/>
      <c r="AQ10" s="384"/>
      <c r="AR10" s="386"/>
      <c r="AS10" s="384">
        <v>0</v>
      </c>
      <c r="AT10" s="384"/>
      <c r="AU10" s="384"/>
      <c r="AV10" s="384"/>
      <c r="AW10" s="386"/>
      <c r="AX10" s="384">
        <f t="shared" si="8"/>
        <v>0</v>
      </c>
      <c r="AY10" s="384"/>
      <c r="AZ10" s="384"/>
      <c r="BA10" s="384"/>
      <c r="BB10" s="386"/>
      <c r="BC10" s="384">
        <f t="shared" ref="BC10:BC42" si="12">E10-J10-O10-T10-Y10-AD10-AI10-AN10-AS10-AX10</f>
        <v>0</v>
      </c>
      <c r="BD10" s="384">
        <v>1422.95</v>
      </c>
      <c r="BE10" s="384">
        <v>1447</v>
      </c>
      <c r="BF10" s="384">
        <v>1610.1</v>
      </c>
      <c r="BG10" s="384">
        <f>SUM(BH10:BK10)</f>
        <v>0</v>
      </c>
      <c r="BH10" s="384"/>
      <c r="BI10" s="384"/>
      <c r="BJ10" s="384"/>
      <c r="BK10" s="384"/>
      <c r="BL10" s="384">
        <f>BM10+BN10+BO10+BP10</f>
        <v>0</v>
      </c>
      <c r="BM10" s="384"/>
      <c r="BN10" s="384"/>
      <c r="BO10" s="384"/>
      <c r="BP10" s="384"/>
      <c r="BQ10" s="384">
        <f t="shared" si="9"/>
        <v>0</v>
      </c>
      <c r="BR10" s="384"/>
      <c r="BS10" s="384"/>
      <c r="BT10" s="384"/>
      <c r="BU10" s="386"/>
      <c r="BV10" s="384">
        <f t="shared" si="10"/>
        <v>0</v>
      </c>
    </row>
    <row r="11" spans="1:74" ht="99.6" customHeight="1" x14ac:dyDescent="0.25">
      <c r="A11" s="382" t="s">
        <v>44</v>
      </c>
      <c r="B11" s="383" t="s">
        <v>32</v>
      </c>
      <c r="C11" s="374">
        <v>310</v>
      </c>
      <c r="D11" s="387" t="s">
        <v>489</v>
      </c>
      <c r="E11" s="384">
        <f>F11+G11+H11+I11</f>
        <v>1632804.96</v>
      </c>
      <c r="F11" s="384">
        <v>0</v>
      </c>
      <c r="G11" s="384">
        <v>0</v>
      </c>
      <c r="H11" s="384">
        <v>0</v>
      </c>
      <c r="I11" s="384">
        <v>1632804.96</v>
      </c>
      <c r="J11" s="384">
        <f t="shared" ref="J11:J93" si="13">K11+L11+M11+N11</f>
        <v>0</v>
      </c>
      <c r="K11" s="384"/>
      <c r="L11" s="384"/>
      <c r="M11" s="384"/>
      <c r="N11" s="384"/>
      <c r="O11" s="384">
        <f t="shared" ref="O11:O93" si="14">P11+Q11+R11+S11</f>
        <v>0</v>
      </c>
      <c r="P11" s="384"/>
      <c r="Q11" s="384"/>
      <c r="R11" s="384"/>
      <c r="S11" s="384"/>
      <c r="T11" s="384">
        <f t="shared" si="6"/>
        <v>0</v>
      </c>
      <c r="U11" s="384"/>
      <c r="V11" s="384"/>
      <c r="W11" s="384"/>
      <c r="X11" s="384"/>
      <c r="Y11" s="384">
        <f t="shared" ref="Y11:Y30" si="15">Z11+AA11+AB11+AC11</f>
        <v>954089.2</v>
      </c>
      <c r="Z11" s="384">
        <v>0</v>
      </c>
      <c r="AA11" s="384">
        <v>0</v>
      </c>
      <c r="AB11" s="384">
        <v>0</v>
      </c>
      <c r="AC11" s="386">
        <v>954089.2</v>
      </c>
      <c r="AD11" s="384">
        <f t="shared" si="7"/>
        <v>678715.76</v>
      </c>
      <c r="AE11" s="384"/>
      <c r="AF11" s="384"/>
      <c r="AG11" s="384"/>
      <c r="AH11" s="386">
        <f>600000+78715.76</f>
        <v>678715.76</v>
      </c>
      <c r="AI11" s="384">
        <f t="shared" si="11"/>
        <v>0</v>
      </c>
      <c r="AJ11" s="384"/>
      <c r="AK11" s="384"/>
      <c r="AL11" s="384"/>
      <c r="AM11" s="386"/>
      <c r="AN11" s="384">
        <v>0</v>
      </c>
      <c r="AO11" s="384"/>
      <c r="AP11" s="384"/>
      <c r="AQ11" s="384"/>
      <c r="AR11" s="386"/>
      <c r="AS11" s="384">
        <v>0</v>
      </c>
      <c r="AT11" s="384"/>
      <c r="AU11" s="384"/>
      <c r="AV11" s="384"/>
      <c r="AW11" s="386"/>
      <c r="AX11" s="384">
        <f t="shared" si="8"/>
        <v>0</v>
      </c>
      <c r="AY11" s="384"/>
      <c r="AZ11" s="384"/>
      <c r="BA11" s="384"/>
      <c r="BB11" s="386"/>
      <c r="BC11" s="384">
        <f t="shared" si="12"/>
        <v>0</v>
      </c>
      <c r="BD11" s="384">
        <v>1422.95</v>
      </c>
      <c r="BE11" s="384">
        <v>1447</v>
      </c>
      <c r="BF11" s="384">
        <v>1610.1</v>
      </c>
      <c r="BG11" s="384">
        <f>SUM(BH11:BK11)</f>
        <v>0</v>
      </c>
      <c r="BH11" s="384"/>
      <c r="BI11" s="384"/>
      <c r="BJ11" s="384"/>
      <c r="BK11" s="384"/>
      <c r="BL11" s="384">
        <f t="shared" ref="BL11:BL65" si="16">BM11+BN11+BO11+BP11</f>
        <v>0</v>
      </c>
      <c r="BM11" s="384"/>
      <c r="BN11" s="384"/>
      <c r="BO11" s="384"/>
      <c r="BP11" s="384"/>
      <c r="BQ11" s="384">
        <f t="shared" si="9"/>
        <v>0</v>
      </c>
      <c r="BR11" s="384"/>
      <c r="BS11" s="384"/>
      <c r="BT11" s="384"/>
      <c r="BU11" s="386"/>
      <c r="BV11" s="384">
        <f t="shared" si="10"/>
        <v>0</v>
      </c>
    </row>
    <row r="12" spans="1:74" ht="34.9" customHeight="1" x14ac:dyDescent="0.25">
      <c r="A12" s="382" t="s">
        <v>45</v>
      </c>
      <c r="B12" s="383" t="s">
        <v>10</v>
      </c>
      <c r="C12" s="374">
        <v>226</v>
      </c>
      <c r="D12" s="387" t="s">
        <v>490</v>
      </c>
      <c r="E12" s="384">
        <v>3330</v>
      </c>
      <c r="F12" s="384"/>
      <c r="G12" s="384"/>
      <c r="H12" s="384"/>
      <c r="I12" s="384">
        <v>3330</v>
      </c>
      <c r="J12" s="384">
        <f t="shared" si="13"/>
        <v>3330</v>
      </c>
      <c r="K12" s="384"/>
      <c r="L12" s="384"/>
      <c r="M12" s="384"/>
      <c r="N12" s="384">
        <v>3330</v>
      </c>
      <c r="O12" s="384">
        <f t="shared" si="14"/>
        <v>0</v>
      </c>
      <c r="P12" s="384"/>
      <c r="Q12" s="384"/>
      <c r="R12" s="384"/>
      <c r="S12" s="384"/>
      <c r="T12" s="384">
        <f t="shared" si="6"/>
        <v>0</v>
      </c>
      <c r="U12" s="384"/>
      <c r="V12" s="384"/>
      <c r="W12" s="384"/>
      <c r="X12" s="384"/>
      <c r="Y12" s="384">
        <f t="shared" si="15"/>
        <v>0</v>
      </c>
      <c r="Z12" s="384"/>
      <c r="AA12" s="384"/>
      <c r="AB12" s="384"/>
      <c r="AC12" s="386"/>
      <c r="AD12" s="384">
        <f t="shared" si="7"/>
        <v>0</v>
      </c>
      <c r="AE12" s="384"/>
      <c r="AF12" s="384"/>
      <c r="AG12" s="384"/>
      <c r="AH12" s="386"/>
      <c r="AI12" s="384">
        <f t="shared" si="11"/>
        <v>0</v>
      </c>
      <c r="AJ12" s="384"/>
      <c r="AK12" s="384"/>
      <c r="AL12" s="384"/>
      <c r="AM12" s="386"/>
      <c r="AN12" s="384">
        <v>0</v>
      </c>
      <c r="AO12" s="384"/>
      <c r="AP12" s="384"/>
      <c r="AQ12" s="384"/>
      <c r="AR12" s="386"/>
      <c r="AS12" s="384">
        <v>0</v>
      </c>
      <c r="AT12" s="384"/>
      <c r="AU12" s="384"/>
      <c r="AV12" s="384"/>
      <c r="AW12" s="386"/>
      <c r="AX12" s="384">
        <f t="shared" si="8"/>
        <v>0</v>
      </c>
      <c r="AY12" s="384"/>
      <c r="AZ12" s="384"/>
      <c r="BA12" s="384"/>
      <c r="BB12" s="386"/>
      <c r="BC12" s="384">
        <f t="shared" si="12"/>
        <v>0</v>
      </c>
      <c r="BD12" s="384"/>
      <c r="BE12" s="384"/>
      <c r="BF12" s="384"/>
      <c r="BG12" s="384">
        <f t="shared" ref="BG12:BG30" si="17">SUM(BH12:BK12)</f>
        <v>0</v>
      </c>
      <c r="BH12" s="384"/>
      <c r="BI12" s="384"/>
      <c r="BJ12" s="384"/>
      <c r="BK12" s="384"/>
      <c r="BL12" s="384">
        <f t="shared" si="16"/>
        <v>0</v>
      </c>
      <c r="BM12" s="384"/>
      <c r="BN12" s="384"/>
      <c r="BO12" s="384"/>
      <c r="BP12" s="384"/>
      <c r="BQ12" s="384">
        <f t="shared" si="9"/>
        <v>0</v>
      </c>
      <c r="BR12" s="384"/>
      <c r="BS12" s="384"/>
      <c r="BT12" s="384"/>
      <c r="BU12" s="386"/>
      <c r="BV12" s="384">
        <f t="shared" si="10"/>
        <v>0</v>
      </c>
    </row>
    <row r="13" spans="1:74" ht="43.9" customHeight="1" x14ac:dyDescent="0.25">
      <c r="A13" s="382" t="s">
        <v>46</v>
      </c>
      <c r="B13" s="383" t="s">
        <v>1</v>
      </c>
      <c r="C13" s="374">
        <v>226</v>
      </c>
      <c r="D13" s="387" t="s">
        <v>492</v>
      </c>
      <c r="E13" s="384">
        <v>175661.49</v>
      </c>
      <c r="F13" s="384"/>
      <c r="G13" s="384"/>
      <c r="H13" s="384"/>
      <c r="I13" s="384">
        <v>175661.49</v>
      </c>
      <c r="J13" s="384">
        <f t="shared" si="13"/>
        <v>175661.49</v>
      </c>
      <c r="K13" s="384"/>
      <c r="L13" s="384"/>
      <c r="M13" s="384"/>
      <c r="N13" s="384">
        <v>175661.49</v>
      </c>
      <c r="O13" s="384">
        <f t="shared" si="14"/>
        <v>0</v>
      </c>
      <c r="P13" s="384"/>
      <c r="Q13" s="384"/>
      <c r="R13" s="384"/>
      <c r="S13" s="384"/>
      <c r="T13" s="384">
        <f t="shared" si="6"/>
        <v>0</v>
      </c>
      <c r="U13" s="384"/>
      <c r="V13" s="384"/>
      <c r="W13" s="384"/>
      <c r="X13" s="384"/>
      <c r="Y13" s="384">
        <f t="shared" si="15"/>
        <v>0</v>
      </c>
      <c r="Z13" s="384"/>
      <c r="AA13" s="384"/>
      <c r="AB13" s="384"/>
      <c r="AC13" s="386"/>
      <c r="AD13" s="384">
        <f t="shared" si="7"/>
        <v>0</v>
      </c>
      <c r="AE13" s="384"/>
      <c r="AF13" s="384"/>
      <c r="AG13" s="384"/>
      <c r="AH13" s="386"/>
      <c r="AI13" s="384">
        <f t="shared" si="11"/>
        <v>0</v>
      </c>
      <c r="AJ13" s="384"/>
      <c r="AK13" s="384"/>
      <c r="AL13" s="384"/>
      <c r="AM13" s="386"/>
      <c r="AN13" s="384">
        <v>0</v>
      </c>
      <c r="AO13" s="384"/>
      <c r="AP13" s="384"/>
      <c r="AQ13" s="384"/>
      <c r="AR13" s="386"/>
      <c r="AS13" s="384">
        <v>0</v>
      </c>
      <c r="AT13" s="384"/>
      <c r="AU13" s="384"/>
      <c r="AV13" s="384"/>
      <c r="AW13" s="386"/>
      <c r="AX13" s="384">
        <f t="shared" si="8"/>
        <v>0</v>
      </c>
      <c r="AY13" s="384"/>
      <c r="AZ13" s="384"/>
      <c r="BA13" s="384"/>
      <c r="BB13" s="386"/>
      <c r="BC13" s="384">
        <f t="shared" si="12"/>
        <v>0</v>
      </c>
      <c r="BD13" s="384"/>
      <c r="BE13" s="384"/>
      <c r="BF13" s="384"/>
      <c r="BG13" s="384">
        <f t="shared" si="17"/>
        <v>0</v>
      </c>
      <c r="BH13" s="384"/>
      <c r="BI13" s="384"/>
      <c r="BJ13" s="384"/>
      <c r="BK13" s="384"/>
      <c r="BL13" s="384">
        <f t="shared" si="16"/>
        <v>0</v>
      </c>
      <c r="BM13" s="384"/>
      <c r="BN13" s="384"/>
      <c r="BO13" s="384"/>
      <c r="BP13" s="384"/>
      <c r="BQ13" s="384">
        <f t="shared" si="9"/>
        <v>0</v>
      </c>
      <c r="BR13" s="384"/>
      <c r="BS13" s="384"/>
      <c r="BT13" s="384"/>
      <c r="BU13" s="386"/>
      <c r="BV13" s="384">
        <f t="shared" si="10"/>
        <v>0</v>
      </c>
    </row>
    <row r="14" spans="1:74" ht="30" customHeight="1" x14ac:dyDescent="0.25">
      <c r="A14" s="382" t="s">
        <v>47</v>
      </c>
      <c r="B14" s="383" t="s">
        <v>1</v>
      </c>
      <c r="C14" s="374">
        <v>226</v>
      </c>
      <c r="D14" s="387" t="s">
        <v>491</v>
      </c>
      <c r="E14" s="384">
        <v>19644.400000000001</v>
      </c>
      <c r="F14" s="384"/>
      <c r="G14" s="384"/>
      <c r="H14" s="384"/>
      <c r="I14" s="384">
        <v>19644.400000000001</v>
      </c>
      <c r="J14" s="384">
        <f t="shared" si="13"/>
        <v>0</v>
      </c>
      <c r="K14" s="384"/>
      <c r="L14" s="384"/>
      <c r="M14" s="384"/>
      <c r="N14" s="384"/>
      <c r="O14" s="384">
        <f t="shared" si="14"/>
        <v>19644.400000000001</v>
      </c>
      <c r="P14" s="384"/>
      <c r="Q14" s="384"/>
      <c r="R14" s="384"/>
      <c r="S14" s="384">
        <v>19644.400000000001</v>
      </c>
      <c r="T14" s="384">
        <f t="shared" si="6"/>
        <v>0</v>
      </c>
      <c r="U14" s="384"/>
      <c r="V14" s="384"/>
      <c r="W14" s="384"/>
      <c r="X14" s="384"/>
      <c r="Y14" s="384">
        <f t="shared" si="15"/>
        <v>0</v>
      </c>
      <c r="Z14" s="384"/>
      <c r="AA14" s="384"/>
      <c r="AB14" s="384"/>
      <c r="AC14" s="386"/>
      <c r="AD14" s="384">
        <f t="shared" si="7"/>
        <v>0</v>
      </c>
      <c r="AE14" s="384"/>
      <c r="AF14" s="384"/>
      <c r="AG14" s="384"/>
      <c r="AH14" s="386"/>
      <c r="AI14" s="384">
        <f t="shared" si="11"/>
        <v>0</v>
      </c>
      <c r="AJ14" s="384"/>
      <c r="AK14" s="384"/>
      <c r="AL14" s="384"/>
      <c r="AM14" s="386"/>
      <c r="AN14" s="384">
        <v>0</v>
      </c>
      <c r="AO14" s="384"/>
      <c r="AP14" s="384"/>
      <c r="AQ14" s="384"/>
      <c r="AR14" s="386"/>
      <c r="AS14" s="384">
        <v>0</v>
      </c>
      <c r="AT14" s="384"/>
      <c r="AU14" s="384"/>
      <c r="AV14" s="384"/>
      <c r="AW14" s="386"/>
      <c r="AX14" s="384">
        <f t="shared" si="8"/>
        <v>0</v>
      </c>
      <c r="AY14" s="384"/>
      <c r="AZ14" s="384"/>
      <c r="BA14" s="384"/>
      <c r="BB14" s="386"/>
      <c r="BC14" s="384">
        <f t="shared" si="12"/>
        <v>0</v>
      </c>
      <c r="BD14" s="384"/>
      <c r="BE14" s="384"/>
      <c r="BF14" s="384"/>
      <c r="BG14" s="384">
        <f t="shared" si="17"/>
        <v>0</v>
      </c>
      <c r="BH14" s="384"/>
      <c r="BI14" s="384"/>
      <c r="BJ14" s="384"/>
      <c r="BK14" s="384"/>
      <c r="BL14" s="384">
        <f t="shared" si="16"/>
        <v>0</v>
      </c>
      <c r="BM14" s="384"/>
      <c r="BN14" s="384"/>
      <c r="BO14" s="384"/>
      <c r="BP14" s="384"/>
      <c r="BQ14" s="384">
        <f t="shared" si="9"/>
        <v>0</v>
      </c>
      <c r="BR14" s="384"/>
      <c r="BS14" s="384"/>
      <c r="BT14" s="384"/>
      <c r="BU14" s="386"/>
      <c r="BV14" s="384">
        <f t="shared" si="10"/>
        <v>0</v>
      </c>
    </row>
    <row r="15" spans="1:74" ht="40.9" customHeight="1" x14ac:dyDescent="0.25">
      <c r="A15" s="382" t="s">
        <v>48</v>
      </c>
      <c r="B15" s="383" t="s">
        <v>378</v>
      </c>
      <c r="C15" s="374">
        <v>226</v>
      </c>
      <c r="D15" s="387" t="s">
        <v>493</v>
      </c>
      <c r="E15" s="384">
        <v>19869</v>
      </c>
      <c r="F15" s="384"/>
      <c r="G15" s="384"/>
      <c r="H15" s="384"/>
      <c r="I15" s="384">
        <v>19869</v>
      </c>
      <c r="J15" s="384">
        <f t="shared" si="13"/>
        <v>0</v>
      </c>
      <c r="K15" s="384"/>
      <c r="L15" s="384"/>
      <c r="M15" s="384"/>
      <c r="N15" s="384"/>
      <c r="O15" s="384">
        <f t="shared" si="14"/>
        <v>0</v>
      </c>
      <c r="P15" s="384"/>
      <c r="Q15" s="384"/>
      <c r="R15" s="384"/>
      <c r="S15" s="384"/>
      <c r="T15" s="384">
        <f t="shared" si="6"/>
        <v>0</v>
      </c>
      <c r="U15" s="384"/>
      <c r="V15" s="384"/>
      <c r="W15" s="384"/>
      <c r="X15" s="384"/>
      <c r="Y15" s="384">
        <f t="shared" si="15"/>
        <v>19869</v>
      </c>
      <c r="Z15" s="384"/>
      <c r="AA15" s="384"/>
      <c r="AB15" s="384"/>
      <c r="AC15" s="386">
        <v>19869</v>
      </c>
      <c r="AD15" s="384">
        <f t="shared" si="7"/>
        <v>0</v>
      </c>
      <c r="AE15" s="384"/>
      <c r="AF15" s="384"/>
      <c r="AG15" s="384"/>
      <c r="AH15" s="386"/>
      <c r="AI15" s="384">
        <f t="shared" si="11"/>
        <v>0</v>
      </c>
      <c r="AJ15" s="384"/>
      <c r="AK15" s="384"/>
      <c r="AL15" s="384"/>
      <c r="AM15" s="386"/>
      <c r="AN15" s="384">
        <v>0</v>
      </c>
      <c r="AO15" s="384"/>
      <c r="AP15" s="384"/>
      <c r="AQ15" s="384"/>
      <c r="AR15" s="386"/>
      <c r="AS15" s="384">
        <v>0</v>
      </c>
      <c r="AT15" s="384"/>
      <c r="AU15" s="384"/>
      <c r="AV15" s="384"/>
      <c r="AW15" s="386"/>
      <c r="AX15" s="384">
        <f t="shared" si="8"/>
        <v>0</v>
      </c>
      <c r="AY15" s="384"/>
      <c r="AZ15" s="384"/>
      <c r="BA15" s="384"/>
      <c r="BB15" s="386"/>
      <c r="BC15" s="384">
        <f t="shared" si="12"/>
        <v>0</v>
      </c>
      <c r="BD15" s="384"/>
      <c r="BE15" s="384"/>
      <c r="BF15" s="384"/>
      <c r="BG15" s="384">
        <f t="shared" si="17"/>
        <v>0</v>
      </c>
      <c r="BH15" s="384"/>
      <c r="BI15" s="384"/>
      <c r="BJ15" s="384"/>
      <c r="BK15" s="384"/>
      <c r="BL15" s="384">
        <f t="shared" si="16"/>
        <v>0</v>
      </c>
      <c r="BM15" s="384"/>
      <c r="BN15" s="384"/>
      <c r="BO15" s="384"/>
      <c r="BP15" s="384"/>
      <c r="BQ15" s="384">
        <f t="shared" si="9"/>
        <v>0</v>
      </c>
      <c r="BR15" s="384"/>
      <c r="BS15" s="384"/>
      <c r="BT15" s="384"/>
      <c r="BU15" s="386"/>
      <c r="BV15" s="384">
        <f t="shared" si="10"/>
        <v>0</v>
      </c>
    </row>
    <row r="16" spans="1:74" ht="42" customHeight="1" x14ac:dyDescent="0.25">
      <c r="A16" s="382" t="s">
        <v>49</v>
      </c>
      <c r="B16" s="383" t="s">
        <v>11</v>
      </c>
      <c r="C16" s="374">
        <v>226</v>
      </c>
      <c r="D16" s="387" t="s">
        <v>494</v>
      </c>
      <c r="E16" s="384">
        <v>933921.26</v>
      </c>
      <c r="F16" s="384"/>
      <c r="G16" s="384"/>
      <c r="H16" s="384"/>
      <c r="I16" s="384">
        <v>933921.26</v>
      </c>
      <c r="J16" s="384">
        <f t="shared" si="13"/>
        <v>0</v>
      </c>
      <c r="K16" s="384"/>
      <c r="L16" s="384"/>
      <c r="M16" s="384"/>
      <c r="N16" s="384"/>
      <c r="O16" s="384">
        <f t="shared" si="14"/>
        <v>933921.26</v>
      </c>
      <c r="P16" s="384"/>
      <c r="Q16" s="384"/>
      <c r="R16" s="384"/>
      <c r="S16" s="384">
        <v>933921.26</v>
      </c>
      <c r="T16" s="384">
        <f t="shared" si="6"/>
        <v>0</v>
      </c>
      <c r="U16" s="384"/>
      <c r="V16" s="384"/>
      <c r="W16" s="384"/>
      <c r="X16" s="384"/>
      <c r="Y16" s="384">
        <f t="shared" si="15"/>
        <v>0</v>
      </c>
      <c r="Z16" s="384"/>
      <c r="AA16" s="384"/>
      <c r="AB16" s="384"/>
      <c r="AC16" s="386"/>
      <c r="AD16" s="384">
        <f t="shared" si="7"/>
        <v>0</v>
      </c>
      <c r="AE16" s="384"/>
      <c r="AF16" s="384"/>
      <c r="AG16" s="384"/>
      <c r="AH16" s="386"/>
      <c r="AI16" s="384">
        <f t="shared" si="11"/>
        <v>0</v>
      </c>
      <c r="AJ16" s="384"/>
      <c r="AK16" s="384"/>
      <c r="AL16" s="384"/>
      <c r="AM16" s="386"/>
      <c r="AN16" s="384">
        <v>0</v>
      </c>
      <c r="AO16" s="384"/>
      <c r="AP16" s="384"/>
      <c r="AQ16" s="384"/>
      <c r="AR16" s="386"/>
      <c r="AS16" s="384">
        <v>0</v>
      </c>
      <c r="AT16" s="384"/>
      <c r="AU16" s="384"/>
      <c r="AV16" s="384"/>
      <c r="AW16" s="386"/>
      <c r="AX16" s="384">
        <f t="shared" si="8"/>
        <v>0</v>
      </c>
      <c r="AY16" s="384"/>
      <c r="AZ16" s="384"/>
      <c r="BA16" s="384"/>
      <c r="BB16" s="386"/>
      <c r="BC16" s="384">
        <f t="shared" si="12"/>
        <v>0</v>
      </c>
      <c r="BD16" s="384"/>
      <c r="BE16" s="384"/>
      <c r="BF16" s="384"/>
      <c r="BG16" s="384">
        <f t="shared" si="17"/>
        <v>0</v>
      </c>
      <c r="BH16" s="384"/>
      <c r="BI16" s="384"/>
      <c r="BJ16" s="384"/>
      <c r="BK16" s="384"/>
      <c r="BL16" s="384">
        <f t="shared" si="16"/>
        <v>0</v>
      </c>
      <c r="BM16" s="384"/>
      <c r="BN16" s="384"/>
      <c r="BO16" s="384"/>
      <c r="BP16" s="384"/>
      <c r="BQ16" s="384">
        <f t="shared" si="9"/>
        <v>0</v>
      </c>
      <c r="BR16" s="384"/>
      <c r="BS16" s="384"/>
      <c r="BT16" s="384"/>
      <c r="BU16" s="386"/>
      <c r="BV16" s="384">
        <f t="shared" si="10"/>
        <v>0</v>
      </c>
    </row>
    <row r="17" spans="1:74" ht="40.9" customHeight="1" x14ac:dyDescent="0.25">
      <c r="A17" s="382" t="s">
        <v>50</v>
      </c>
      <c r="B17" s="383" t="s">
        <v>367</v>
      </c>
      <c r="C17" s="374">
        <v>226</v>
      </c>
      <c r="D17" s="387" t="s">
        <v>495</v>
      </c>
      <c r="E17" s="384">
        <f t="shared" ref="E17:E22" si="18">F17+G17+H17+I17</f>
        <v>36876</v>
      </c>
      <c r="F17" s="384"/>
      <c r="G17" s="384"/>
      <c r="H17" s="384"/>
      <c r="I17" s="384">
        <v>36876</v>
      </c>
      <c r="J17" s="384">
        <f t="shared" si="13"/>
        <v>0</v>
      </c>
      <c r="K17" s="384"/>
      <c r="L17" s="384"/>
      <c r="M17" s="384"/>
      <c r="N17" s="384"/>
      <c r="O17" s="384">
        <f t="shared" si="14"/>
        <v>0</v>
      </c>
      <c r="P17" s="384"/>
      <c r="Q17" s="384"/>
      <c r="R17" s="384"/>
      <c r="S17" s="384"/>
      <c r="T17" s="384">
        <f t="shared" si="6"/>
        <v>0</v>
      </c>
      <c r="U17" s="384"/>
      <c r="V17" s="384"/>
      <c r="W17" s="384"/>
      <c r="X17" s="384"/>
      <c r="Y17" s="384">
        <f t="shared" si="15"/>
        <v>36876</v>
      </c>
      <c r="Z17" s="384"/>
      <c r="AA17" s="384"/>
      <c r="AB17" s="384"/>
      <c r="AC17" s="386">
        <v>36876</v>
      </c>
      <c r="AD17" s="384">
        <f t="shared" si="7"/>
        <v>0</v>
      </c>
      <c r="AE17" s="384"/>
      <c r="AF17" s="384"/>
      <c r="AG17" s="384"/>
      <c r="AH17" s="386"/>
      <c r="AI17" s="384">
        <f t="shared" si="11"/>
        <v>0</v>
      </c>
      <c r="AJ17" s="384"/>
      <c r="AK17" s="384"/>
      <c r="AL17" s="384"/>
      <c r="AM17" s="386"/>
      <c r="AN17" s="384">
        <v>0</v>
      </c>
      <c r="AO17" s="384"/>
      <c r="AP17" s="384"/>
      <c r="AQ17" s="384"/>
      <c r="AR17" s="386"/>
      <c r="AS17" s="384">
        <v>0</v>
      </c>
      <c r="AT17" s="384"/>
      <c r="AU17" s="384"/>
      <c r="AV17" s="384"/>
      <c r="AW17" s="386"/>
      <c r="AX17" s="384">
        <f t="shared" si="8"/>
        <v>0</v>
      </c>
      <c r="AY17" s="384"/>
      <c r="AZ17" s="384"/>
      <c r="BA17" s="384"/>
      <c r="BB17" s="386"/>
      <c r="BC17" s="384">
        <f t="shared" si="12"/>
        <v>0</v>
      </c>
      <c r="BD17" s="384"/>
      <c r="BE17" s="384"/>
      <c r="BF17" s="384"/>
      <c r="BG17" s="384">
        <f t="shared" si="17"/>
        <v>0</v>
      </c>
      <c r="BH17" s="384"/>
      <c r="BI17" s="384"/>
      <c r="BJ17" s="384"/>
      <c r="BK17" s="384"/>
      <c r="BL17" s="384">
        <f t="shared" si="16"/>
        <v>0</v>
      </c>
      <c r="BM17" s="384"/>
      <c r="BN17" s="384"/>
      <c r="BO17" s="384"/>
      <c r="BP17" s="384"/>
      <c r="BQ17" s="384">
        <f t="shared" si="9"/>
        <v>0</v>
      </c>
      <c r="BR17" s="384"/>
      <c r="BS17" s="384"/>
      <c r="BT17" s="384"/>
      <c r="BU17" s="386"/>
      <c r="BV17" s="384">
        <f t="shared" si="10"/>
        <v>0</v>
      </c>
    </row>
    <row r="18" spans="1:74" ht="40.9" customHeight="1" x14ac:dyDescent="0.25">
      <c r="A18" s="382" t="s">
        <v>51</v>
      </c>
      <c r="B18" s="383" t="s">
        <v>369</v>
      </c>
      <c r="C18" s="374">
        <v>226</v>
      </c>
      <c r="D18" s="387" t="s">
        <v>496</v>
      </c>
      <c r="E18" s="384">
        <f t="shared" si="18"/>
        <v>9833</v>
      </c>
      <c r="F18" s="384"/>
      <c r="G18" s="384"/>
      <c r="H18" s="384"/>
      <c r="I18" s="384">
        <v>9833</v>
      </c>
      <c r="J18" s="384">
        <f t="shared" si="13"/>
        <v>0</v>
      </c>
      <c r="K18" s="384"/>
      <c r="L18" s="384"/>
      <c r="M18" s="384"/>
      <c r="N18" s="384"/>
      <c r="O18" s="384">
        <f t="shared" si="14"/>
        <v>0</v>
      </c>
      <c r="P18" s="384"/>
      <c r="Q18" s="384"/>
      <c r="R18" s="384"/>
      <c r="S18" s="384"/>
      <c r="T18" s="384">
        <f t="shared" si="6"/>
        <v>0</v>
      </c>
      <c r="U18" s="384"/>
      <c r="V18" s="384"/>
      <c r="W18" s="384"/>
      <c r="X18" s="384"/>
      <c r="Y18" s="384">
        <f t="shared" si="15"/>
        <v>9833</v>
      </c>
      <c r="Z18" s="384"/>
      <c r="AA18" s="384"/>
      <c r="AB18" s="384"/>
      <c r="AC18" s="386">
        <v>9833</v>
      </c>
      <c r="AD18" s="384">
        <f t="shared" si="7"/>
        <v>0</v>
      </c>
      <c r="AE18" s="384"/>
      <c r="AF18" s="384"/>
      <c r="AG18" s="384"/>
      <c r="AH18" s="386"/>
      <c r="AI18" s="384">
        <f t="shared" si="11"/>
        <v>0</v>
      </c>
      <c r="AJ18" s="384"/>
      <c r="AK18" s="384"/>
      <c r="AL18" s="384"/>
      <c r="AM18" s="386"/>
      <c r="AN18" s="384">
        <v>0</v>
      </c>
      <c r="AO18" s="384"/>
      <c r="AP18" s="384"/>
      <c r="AQ18" s="384"/>
      <c r="AR18" s="386"/>
      <c r="AS18" s="384">
        <v>0</v>
      </c>
      <c r="AT18" s="384"/>
      <c r="AU18" s="384"/>
      <c r="AV18" s="384"/>
      <c r="AW18" s="386"/>
      <c r="AX18" s="384">
        <f t="shared" si="8"/>
        <v>0</v>
      </c>
      <c r="AY18" s="384"/>
      <c r="AZ18" s="384"/>
      <c r="BA18" s="384"/>
      <c r="BB18" s="386"/>
      <c r="BC18" s="384">
        <f t="shared" si="12"/>
        <v>0</v>
      </c>
      <c r="BD18" s="384"/>
      <c r="BE18" s="384"/>
      <c r="BF18" s="384"/>
      <c r="BG18" s="384">
        <f t="shared" si="17"/>
        <v>0</v>
      </c>
      <c r="BH18" s="384"/>
      <c r="BI18" s="384"/>
      <c r="BJ18" s="384"/>
      <c r="BK18" s="384"/>
      <c r="BL18" s="384">
        <f t="shared" si="16"/>
        <v>0</v>
      </c>
      <c r="BM18" s="384"/>
      <c r="BN18" s="384"/>
      <c r="BO18" s="384"/>
      <c r="BP18" s="384"/>
      <c r="BQ18" s="384">
        <f t="shared" si="9"/>
        <v>0</v>
      </c>
      <c r="BR18" s="384"/>
      <c r="BS18" s="384"/>
      <c r="BT18" s="384"/>
      <c r="BU18" s="386"/>
      <c r="BV18" s="384">
        <f t="shared" si="10"/>
        <v>0</v>
      </c>
    </row>
    <row r="19" spans="1:74" ht="40.9" customHeight="1" x14ac:dyDescent="0.25">
      <c r="A19" s="382" t="s">
        <v>35</v>
      </c>
      <c r="B19" s="383" t="s">
        <v>371</v>
      </c>
      <c r="C19" s="374">
        <v>226</v>
      </c>
      <c r="D19" s="387" t="s">
        <v>497</v>
      </c>
      <c r="E19" s="384">
        <f t="shared" si="18"/>
        <v>37466</v>
      </c>
      <c r="F19" s="384"/>
      <c r="G19" s="384"/>
      <c r="H19" s="384"/>
      <c r="I19" s="384">
        <v>37466</v>
      </c>
      <c r="J19" s="384">
        <f t="shared" si="13"/>
        <v>0</v>
      </c>
      <c r="K19" s="384"/>
      <c r="L19" s="384"/>
      <c r="M19" s="384"/>
      <c r="N19" s="384"/>
      <c r="O19" s="384">
        <f t="shared" si="14"/>
        <v>0</v>
      </c>
      <c r="P19" s="384"/>
      <c r="Q19" s="384"/>
      <c r="R19" s="384"/>
      <c r="S19" s="384"/>
      <c r="T19" s="384">
        <f t="shared" si="6"/>
        <v>0</v>
      </c>
      <c r="U19" s="384"/>
      <c r="V19" s="384"/>
      <c r="W19" s="384"/>
      <c r="X19" s="384"/>
      <c r="Y19" s="384">
        <f t="shared" si="15"/>
        <v>37466</v>
      </c>
      <c r="Z19" s="384"/>
      <c r="AA19" s="384"/>
      <c r="AB19" s="384"/>
      <c r="AC19" s="386">
        <v>37466</v>
      </c>
      <c r="AD19" s="384">
        <f t="shared" si="7"/>
        <v>0</v>
      </c>
      <c r="AE19" s="384"/>
      <c r="AF19" s="384"/>
      <c r="AG19" s="384"/>
      <c r="AH19" s="386"/>
      <c r="AI19" s="384">
        <f t="shared" si="11"/>
        <v>0</v>
      </c>
      <c r="AJ19" s="384"/>
      <c r="AK19" s="384"/>
      <c r="AL19" s="384"/>
      <c r="AM19" s="386"/>
      <c r="AN19" s="384">
        <v>0</v>
      </c>
      <c r="AO19" s="384"/>
      <c r="AP19" s="384"/>
      <c r="AQ19" s="384"/>
      <c r="AR19" s="386"/>
      <c r="AS19" s="384">
        <v>0</v>
      </c>
      <c r="AT19" s="384"/>
      <c r="AU19" s="384"/>
      <c r="AV19" s="384"/>
      <c r="AW19" s="386"/>
      <c r="AX19" s="384">
        <f t="shared" si="8"/>
        <v>0</v>
      </c>
      <c r="AY19" s="384"/>
      <c r="AZ19" s="384"/>
      <c r="BA19" s="384"/>
      <c r="BB19" s="386"/>
      <c r="BC19" s="384">
        <f t="shared" si="12"/>
        <v>0</v>
      </c>
      <c r="BD19" s="384"/>
      <c r="BE19" s="384"/>
      <c r="BF19" s="384"/>
      <c r="BG19" s="384">
        <f t="shared" si="17"/>
        <v>0</v>
      </c>
      <c r="BH19" s="384"/>
      <c r="BI19" s="384"/>
      <c r="BJ19" s="384"/>
      <c r="BK19" s="384"/>
      <c r="BL19" s="384">
        <f t="shared" si="16"/>
        <v>0</v>
      </c>
      <c r="BM19" s="384"/>
      <c r="BN19" s="384"/>
      <c r="BO19" s="384"/>
      <c r="BP19" s="384"/>
      <c r="BQ19" s="384">
        <f t="shared" si="9"/>
        <v>0</v>
      </c>
      <c r="BR19" s="384"/>
      <c r="BS19" s="384"/>
      <c r="BT19" s="384"/>
      <c r="BU19" s="386"/>
      <c r="BV19" s="384">
        <f t="shared" si="10"/>
        <v>0</v>
      </c>
    </row>
    <row r="20" spans="1:74" ht="40.9" customHeight="1" x14ac:dyDescent="0.25">
      <c r="A20" s="382" t="s">
        <v>118</v>
      </c>
      <c r="B20" s="383" t="s">
        <v>373</v>
      </c>
      <c r="C20" s="374">
        <v>226</v>
      </c>
      <c r="D20" s="387" t="s">
        <v>498</v>
      </c>
      <c r="E20" s="384">
        <f t="shared" si="18"/>
        <v>36614</v>
      </c>
      <c r="F20" s="384"/>
      <c r="G20" s="384"/>
      <c r="H20" s="384"/>
      <c r="I20" s="384">
        <v>36614</v>
      </c>
      <c r="J20" s="384">
        <f t="shared" si="13"/>
        <v>0</v>
      </c>
      <c r="K20" s="384"/>
      <c r="L20" s="384"/>
      <c r="M20" s="384"/>
      <c r="N20" s="384"/>
      <c r="O20" s="384">
        <f t="shared" si="14"/>
        <v>0</v>
      </c>
      <c r="P20" s="384"/>
      <c r="Q20" s="384"/>
      <c r="R20" s="384"/>
      <c r="S20" s="384"/>
      <c r="T20" s="384">
        <f t="shared" si="6"/>
        <v>0</v>
      </c>
      <c r="U20" s="384"/>
      <c r="V20" s="384"/>
      <c r="W20" s="384"/>
      <c r="X20" s="384"/>
      <c r="Y20" s="384">
        <f t="shared" si="15"/>
        <v>36614</v>
      </c>
      <c r="Z20" s="384"/>
      <c r="AA20" s="384"/>
      <c r="AB20" s="384"/>
      <c r="AC20" s="386">
        <v>36614</v>
      </c>
      <c r="AD20" s="384">
        <f t="shared" si="7"/>
        <v>0</v>
      </c>
      <c r="AE20" s="384"/>
      <c r="AF20" s="384"/>
      <c r="AG20" s="384"/>
      <c r="AH20" s="386"/>
      <c r="AI20" s="384">
        <f t="shared" si="11"/>
        <v>0</v>
      </c>
      <c r="AJ20" s="384"/>
      <c r="AK20" s="384"/>
      <c r="AL20" s="384"/>
      <c r="AM20" s="386"/>
      <c r="AN20" s="384">
        <v>0</v>
      </c>
      <c r="AO20" s="384"/>
      <c r="AP20" s="384"/>
      <c r="AQ20" s="384"/>
      <c r="AR20" s="386"/>
      <c r="AS20" s="384">
        <v>0</v>
      </c>
      <c r="AT20" s="384"/>
      <c r="AU20" s="384"/>
      <c r="AV20" s="384"/>
      <c r="AW20" s="386"/>
      <c r="AX20" s="384">
        <f t="shared" si="8"/>
        <v>0</v>
      </c>
      <c r="AY20" s="384"/>
      <c r="AZ20" s="384"/>
      <c r="BA20" s="384"/>
      <c r="BB20" s="386"/>
      <c r="BC20" s="384">
        <f t="shared" si="12"/>
        <v>0</v>
      </c>
      <c r="BD20" s="384"/>
      <c r="BE20" s="384"/>
      <c r="BF20" s="384"/>
      <c r="BG20" s="384">
        <f t="shared" si="17"/>
        <v>0</v>
      </c>
      <c r="BH20" s="384"/>
      <c r="BI20" s="384"/>
      <c r="BJ20" s="384"/>
      <c r="BK20" s="384"/>
      <c r="BL20" s="384">
        <f t="shared" si="16"/>
        <v>0</v>
      </c>
      <c r="BM20" s="384"/>
      <c r="BN20" s="384"/>
      <c r="BO20" s="384"/>
      <c r="BP20" s="384"/>
      <c r="BQ20" s="384">
        <f t="shared" si="9"/>
        <v>0</v>
      </c>
      <c r="BR20" s="384"/>
      <c r="BS20" s="384"/>
      <c r="BT20" s="384"/>
      <c r="BU20" s="386"/>
      <c r="BV20" s="384">
        <f t="shared" si="10"/>
        <v>0</v>
      </c>
    </row>
    <row r="21" spans="1:74" ht="40.9" customHeight="1" x14ac:dyDescent="0.25">
      <c r="A21" s="382" t="s">
        <v>119</v>
      </c>
      <c r="B21" s="383" t="s">
        <v>375</v>
      </c>
      <c r="C21" s="374">
        <v>226</v>
      </c>
      <c r="D21" s="387" t="s">
        <v>499</v>
      </c>
      <c r="E21" s="384">
        <f t="shared" si="18"/>
        <v>29628</v>
      </c>
      <c r="F21" s="384"/>
      <c r="G21" s="384"/>
      <c r="H21" s="384"/>
      <c r="I21" s="384">
        <v>29628</v>
      </c>
      <c r="J21" s="384">
        <f t="shared" si="13"/>
        <v>0</v>
      </c>
      <c r="K21" s="384"/>
      <c r="L21" s="384"/>
      <c r="M21" s="384"/>
      <c r="N21" s="384"/>
      <c r="O21" s="384">
        <f t="shared" si="14"/>
        <v>0</v>
      </c>
      <c r="P21" s="384"/>
      <c r="Q21" s="384"/>
      <c r="R21" s="384"/>
      <c r="S21" s="384"/>
      <c r="T21" s="384">
        <f t="shared" si="6"/>
        <v>0</v>
      </c>
      <c r="U21" s="384"/>
      <c r="V21" s="384"/>
      <c r="W21" s="384"/>
      <c r="X21" s="384"/>
      <c r="Y21" s="384">
        <f t="shared" si="15"/>
        <v>29628</v>
      </c>
      <c r="Z21" s="384"/>
      <c r="AA21" s="384"/>
      <c r="AB21" s="384"/>
      <c r="AC21" s="386">
        <f>29628</f>
        <v>29628</v>
      </c>
      <c r="AD21" s="384">
        <f t="shared" si="7"/>
        <v>0</v>
      </c>
      <c r="AE21" s="384"/>
      <c r="AF21" s="384"/>
      <c r="AG21" s="384"/>
      <c r="AH21" s="386"/>
      <c r="AI21" s="384">
        <f t="shared" si="11"/>
        <v>0</v>
      </c>
      <c r="AJ21" s="384"/>
      <c r="AK21" s="384"/>
      <c r="AL21" s="384"/>
      <c r="AM21" s="386"/>
      <c r="AN21" s="384">
        <v>0</v>
      </c>
      <c r="AO21" s="384"/>
      <c r="AP21" s="384"/>
      <c r="AQ21" s="384"/>
      <c r="AR21" s="386"/>
      <c r="AS21" s="384">
        <v>0</v>
      </c>
      <c r="AT21" s="384"/>
      <c r="AU21" s="384"/>
      <c r="AV21" s="384"/>
      <c r="AW21" s="386"/>
      <c r="AX21" s="384">
        <f t="shared" si="8"/>
        <v>0</v>
      </c>
      <c r="AY21" s="384"/>
      <c r="AZ21" s="384"/>
      <c r="BA21" s="384"/>
      <c r="BB21" s="386"/>
      <c r="BC21" s="384">
        <f t="shared" si="12"/>
        <v>0</v>
      </c>
      <c r="BD21" s="384"/>
      <c r="BE21" s="384"/>
      <c r="BF21" s="384"/>
      <c r="BG21" s="384">
        <f t="shared" si="17"/>
        <v>0</v>
      </c>
      <c r="BH21" s="384"/>
      <c r="BI21" s="384"/>
      <c r="BJ21" s="384"/>
      <c r="BK21" s="384"/>
      <c r="BL21" s="384">
        <f t="shared" si="16"/>
        <v>0</v>
      </c>
      <c r="BM21" s="384"/>
      <c r="BN21" s="384"/>
      <c r="BO21" s="384"/>
      <c r="BP21" s="384"/>
      <c r="BQ21" s="384">
        <f t="shared" si="9"/>
        <v>0</v>
      </c>
      <c r="BR21" s="384"/>
      <c r="BS21" s="384"/>
      <c r="BT21" s="384"/>
      <c r="BU21" s="386"/>
      <c r="BV21" s="384">
        <f t="shared" si="10"/>
        <v>0</v>
      </c>
    </row>
    <row r="22" spans="1:74" ht="40.9" customHeight="1" x14ac:dyDescent="0.25">
      <c r="A22" s="382" t="s">
        <v>220</v>
      </c>
      <c r="B22" s="383" t="s">
        <v>386</v>
      </c>
      <c r="C22" s="374">
        <v>226</v>
      </c>
      <c r="D22" s="387" t="s">
        <v>500</v>
      </c>
      <c r="E22" s="384">
        <f t="shared" si="18"/>
        <v>37647</v>
      </c>
      <c r="F22" s="384"/>
      <c r="G22" s="384"/>
      <c r="H22" s="384"/>
      <c r="I22" s="384">
        <v>37647</v>
      </c>
      <c r="J22" s="384">
        <f t="shared" si="13"/>
        <v>0</v>
      </c>
      <c r="K22" s="384"/>
      <c r="L22" s="384"/>
      <c r="M22" s="384"/>
      <c r="N22" s="384"/>
      <c r="O22" s="384">
        <f t="shared" si="14"/>
        <v>0</v>
      </c>
      <c r="P22" s="384"/>
      <c r="Q22" s="384"/>
      <c r="R22" s="384"/>
      <c r="S22" s="384"/>
      <c r="T22" s="384">
        <f t="shared" si="6"/>
        <v>0</v>
      </c>
      <c r="U22" s="384"/>
      <c r="V22" s="384"/>
      <c r="W22" s="384"/>
      <c r="X22" s="384"/>
      <c r="Y22" s="384">
        <f t="shared" si="15"/>
        <v>37647</v>
      </c>
      <c r="Z22" s="384"/>
      <c r="AA22" s="384"/>
      <c r="AB22" s="384"/>
      <c r="AC22" s="386">
        <v>37647</v>
      </c>
      <c r="AD22" s="384">
        <f t="shared" si="7"/>
        <v>0</v>
      </c>
      <c r="AE22" s="384"/>
      <c r="AF22" s="384"/>
      <c r="AG22" s="384"/>
      <c r="AH22" s="386"/>
      <c r="AI22" s="384">
        <f t="shared" si="11"/>
        <v>0</v>
      </c>
      <c r="AJ22" s="384"/>
      <c r="AK22" s="384"/>
      <c r="AL22" s="384"/>
      <c r="AM22" s="386"/>
      <c r="AN22" s="384">
        <v>0</v>
      </c>
      <c r="AO22" s="384"/>
      <c r="AP22" s="384"/>
      <c r="AQ22" s="384"/>
      <c r="AR22" s="386"/>
      <c r="AS22" s="384">
        <v>0</v>
      </c>
      <c r="AT22" s="384"/>
      <c r="AU22" s="384"/>
      <c r="AV22" s="384"/>
      <c r="AW22" s="386"/>
      <c r="AX22" s="384">
        <f t="shared" si="8"/>
        <v>0</v>
      </c>
      <c r="AY22" s="384"/>
      <c r="AZ22" s="384"/>
      <c r="BA22" s="384"/>
      <c r="BB22" s="386"/>
      <c r="BC22" s="384">
        <f t="shared" si="12"/>
        <v>0</v>
      </c>
      <c r="BD22" s="384"/>
      <c r="BE22" s="384"/>
      <c r="BF22" s="384"/>
      <c r="BG22" s="384">
        <f t="shared" si="17"/>
        <v>0</v>
      </c>
      <c r="BH22" s="384"/>
      <c r="BI22" s="384"/>
      <c r="BJ22" s="384"/>
      <c r="BK22" s="384"/>
      <c r="BL22" s="384">
        <f t="shared" si="16"/>
        <v>0</v>
      </c>
      <c r="BM22" s="384"/>
      <c r="BN22" s="384"/>
      <c r="BO22" s="384"/>
      <c r="BP22" s="384"/>
      <c r="BQ22" s="384">
        <f t="shared" si="9"/>
        <v>0</v>
      </c>
      <c r="BR22" s="384"/>
      <c r="BS22" s="384"/>
      <c r="BT22" s="384"/>
      <c r="BU22" s="386"/>
      <c r="BV22" s="384">
        <f t="shared" si="10"/>
        <v>0</v>
      </c>
    </row>
    <row r="23" spans="1:74" ht="36" customHeight="1" x14ac:dyDescent="0.25">
      <c r="A23" s="382" t="s">
        <v>247</v>
      </c>
      <c r="B23" s="383" t="s">
        <v>20</v>
      </c>
      <c r="C23" s="374">
        <v>226</v>
      </c>
      <c r="D23" s="387" t="s">
        <v>501</v>
      </c>
      <c r="E23" s="384">
        <v>147595.74</v>
      </c>
      <c r="F23" s="384"/>
      <c r="G23" s="384"/>
      <c r="H23" s="384"/>
      <c r="I23" s="384">
        <v>147595.74</v>
      </c>
      <c r="J23" s="384">
        <f t="shared" si="13"/>
        <v>0</v>
      </c>
      <c r="K23" s="384"/>
      <c r="L23" s="384"/>
      <c r="M23" s="384"/>
      <c r="N23" s="384"/>
      <c r="O23" s="384">
        <f t="shared" si="14"/>
        <v>3678.99</v>
      </c>
      <c r="P23" s="384"/>
      <c r="Q23" s="384"/>
      <c r="R23" s="384"/>
      <c r="S23" s="384">
        <v>3678.99</v>
      </c>
      <c r="T23" s="384">
        <f t="shared" si="6"/>
        <v>30503.08</v>
      </c>
      <c r="U23" s="384"/>
      <c r="V23" s="384"/>
      <c r="W23" s="384"/>
      <c r="X23" s="384">
        <v>30503.08</v>
      </c>
      <c r="Y23" s="384">
        <f t="shared" si="15"/>
        <v>92935.66</v>
      </c>
      <c r="Z23" s="384"/>
      <c r="AA23" s="384"/>
      <c r="AB23" s="384"/>
      <c r="AC23" s="386">
        <f>41864.43+3711.96+4842.31+8846.33+10245.98+23424.65</f>
        <v>92935.66</v>
      </c>
      <c r="AD23" s="384">
        <f t="shared" si="7"/>
        <v>0</v>
      </c>
      <c r="AE23" s="384"/>
      <c r="AF23" s="384"/>
      <c r="AG23" s="384"/>
      <c r="AH23" s="386"/>
      <c r="AI23" s="384">
        <f t="shared" si="11"/>
        <v>0</v>
      </c>
      <c r="AJ23" s="384"/>
      <c r="AK23" s="384"/>
      <c r="AL23" s="384"/>
      <c r="AM23" s="386"/>
      <c r="AN23" s="384">
        <v>0</v>
      </c>
      <c r="AO23" s="384"/>
      <c r="AP23" s="384"/>
      <c r="AQ23" s="384"/>
      <c r="AR23" s="386"/>
      <c r="AS23" s="384">
        <v>0</v>
      </c>
      <c r="AT23" s="384"/>
      <c r="AU23" s="384"/>
      <c r="AV23" s="384"/>
      <c r="AW23" s="386"/>
      <c r="AX23" s="384">
        <f t="shared" si="8"/>
        <v>0</v>
      </c>
      <c r="AY23" s="384"/>
      <c r="AZ23" s="384"/>
      <c r="BA23" s="384"/>
      <c r="BB23" s="386"/>
      <c r="BC23" s="384">
        <f t="shared" si="12"/>
        <v>20478.009999999995</v>
      </c>
      <c r="BD23" s="384"/>
      <c r="BE23" s="384"/>
      <c r="BF23" s="384"/>
      <c r="BG23" s="384">
        <f t="shared" si="17"/>
        <v>0</v>
      </c>
      <c r="BH23" s="384"/>
      <c r="BI23" s="384"/>
      <c r="BJ23" s="384"/>
      <c r="BK23" s="384"/>
      <c r="BL23" s="384">
        <f t="shared" si="16"/>
        <v>20478.009999999995</v>
      </c>
      <c r="BM23" s="384"/>
      <c r="BN23" s="384"/>
      <c r="BO23" s="384"/>
      <c r="BP23" s="384">
        <f>I23-N23-S23-X23-AC23-AH23-BK23-BB23-AM23-AR23-AW23</f>
        <v>20478.009999999995</v>
      </c>
      <c r="BQ23" s="384">
        <f t="shared" si="9"/>
        <v>0</v>
      </c>
      <c r="BR23" s="384"/>
      <c r="BS23" s="384"/>
      <c r="BT23" s="384"/>
      <c r="BU23" s="386"/>
      <c r="BV23" s="384">
        <f t="shared" si="10"/>
        <v>20478.009999999995</v>
      </c>
    </row>
    <row r="24" spans="1:74" ht="41.45" customHeight="1" x14ac:dyDescent="0.25">
      <c r="A24" s="382" t="s">
        <v>420</v>
      </c>
      <c r="B24" s="383" t="s">
        <v>12</v>
      </c>
      <c r="C24" s="374">
        <v>226</v>
      </c>
      <c r="D24" s="387" t="s">
        <v>502</v>
      </c>
      <c r="E24" s="384">
        <v>758548.97</v>
      </c>
      <c r="F24" s="384"/>
      <c r="G24" s="384"/>
      <c r="H24" s="384"/>
      <c r="I24" s="384">
        <v>758548.97</v>
      </c>
      <c r="J24" s="384">
        <f t="shared" si="13"/>
        <v>0</v>
      </c>
      <c r="K24" s="384"/>
      <c r="L24" s="384"/>
      <c r="M24" s="384"/>
      <c r="N24" s="384"/>
      <c r="O24" s="384">
        <f t="shared" si="14"/>
        <v>227564.69</v>
      </c>
      <c r="P24" s="384"/>
      <c r="Q24" s="384"/>
      <c r="R24" s="384"/>
      <c r="S24" s="384">
        <v>227564.69</v>
      </c>
      <c r="T24" s="384">
        <f t="shared" si="6"/>
        <v>0</v>
      </c>
      <c r="U24" s="384"/>
      <c r="V24" s="384"/>
      <c r="W24" s="384"/>
      <c r="X24" s="384"/>
      <c r="Y24" s="384">
        <f t="shared" si="15"/>
        <v>0</v>
      </c>
      <c r="Z24" s="384"/>
      <c r="AA24" s="384"/>
      <c r="AB24" s="384"/>
      <c r="AC24" s="386"/>
      <c r="AD24" s="384">
        <f t="shared" si="7"/>
        <v>530984.28</v>
      </c>
      <c r="AE24" s="384"/>
      <c r="AF24" s="384"/>
      <c r="AG24" s="384"/>
      <c r="AH24" s="386">
        <v>530984.28</v>
      </c>
      <c r="AI24" s="384">
        <f t="shared" si="11"/>
        <v>0</v>
      </c>
      <c r="AJ24" s="384"/>
      <c r="AK24" s="384"/>
      <c r="AL24" s="384"/>
      <c r="AM24" s="386"/>
      <c r="AN24" s="384">
        <v>0</v>
      </c>
      <c r="AO24" s="384"/>
      <c r="AP24" s="384"/>
      <c r="AQ24" s="384"/>
      <c r="AR24" s="386"/>
      <c r="AS24" s="384">
        <v>0</v>
      </c>
      <c r="AT24" s="384"/>
      <c r="AU24" s="384"/>
      <c r="AV24" s="384"/>
      <c r="AW24" s="386"/>
      <c r="AX24" s="384">
        <f t="shared" si="8"/>
        <v>0</v>
      </c>
      <c r="AY24" s="384"/>
      <c r="AZ24" s="384"/>
      <c r="BA24" s="384"/>
      <c r="BB24" s="386"/>
      <c r="BC24" s="384">
        <f t="shared" si="12"/>
        <v>0</v>
      </c>
      <c r="BD24" s="384"/>
      <c r="BE24" s="384"/>
      <c r="BF24" s="384"/>
      <c r="BG24" s="384">
        <f t="shared" si="17"/>
        <v>0</v>
      </c>
      <c r="BH24" s="384"/>
      <c r="BI24" s="384"/>
      <c r="BJ24" s="384"/>
      <c r="BK24" s="384"/>
      <c r="BL24" s="384">
        <f t="shared" si="16"/>
        <v>0</v>
      </c>
      <c r="BM24" s="384"/>
      <c r="BN24" s="384"/>
      <c r="BO24" s="384"/>
      <c r="BP24" s="384"/>
      <c r="BQ24" s="384">
        <f t="shared" si="9"/>
        <v>0</v>
      </c>
      <c r="BR24" s="384"/>
      <c r="BS24" s="384"/>
      <c r="BT24" s="384"/>
      <c r="BU24" s="386"/>
      <c r="BV24" s="384">
        <f t="shared" si="10"/>
        <v>0</v>
      </c>
    </row>
    <row r="25" spans="1:74" ht="46.9" customHeight="1" x14ac:dyDescent="0.25">
      <c r="A25" s="382" t="s">
        <v>427</v>
      </c>
      <c r="B25" s="383" t="s">
        <v>13</v>
      </c>
      <c r="C25" s="374">
        <v>226</v>
      </c>
      <c r="D25" s="387" t="s">
        <v>503</v>
      </c>
      <c r="E25" s="384">
        <v>937948.35</v>
      </c>
      <c r="F25" s="384"/>
      <c r="G25" s="384"/>
      <c r="H25" s="384"/>
      <c r="I25" s="384">
        <v>937948.35</v>
      </c>
      <c r="J25" s="384">
        <f t="shared" si="13"/>
        <v>0</v>
      </c>
      <c r="K25" s="384"/>
      <c r="L25" s="384"/>
      <c r="M25" s="384"/>
      <c r="N25" s="384"/>
      <c r="O25" s="384">
        <f t="shared" si="14"/>
        <v>609666.43000000005</v>
      </c>
      <c r="P25" s="384"/>
      <c r="Q25" s="384"/>
      <c r="R25" s="384"/>
      <c r="S25" s="384">
        <v>609666.43000000005</v>
      </c>
      <c r="T25" s="384">
        <f t="shared" si="6"/>
        <v>0</v>
      </c>
      <c r="U25" s="384"/>
      <c r="V25" s="384"/>
      <c r="W25" s="384"/>
      <c r="X25" s="384"/>
      <c r="Y25" s="384">
        <f t="shared" si="15"/>
        <v>328281.92</v>
      </c>
      <c r="Z25" s="384"/>
      <c r="AA25" s="384"/>
      <c r="AB25" s="384"/>
      <c r="AC25" s="386">
        <v>328281.92</v>
      </c>
      <c r="AD25" s="384">
        <f t="shared" si="7"/>
        <v>0</v>
      </c>
      <c r="AE25" s="384"/>
      <c r="AF25" s="384"/>
      <c r="AG25" s="384"/>
      <c r="AH25" s="386"/>
      <c r="AI25" s="384">
        <f t="shared" si="11"/>
        <v>0</v>
      </c>
      <c r="AJ25" s="384"/>
      <c r="AK25" s="384"/>
      <c r="AL25" s="384"/>
      <c r="AM25" s="386"/>
      <c r="AN25" s="384">
        <v>0</v>
      </c>
      <c r="AO25" s="384"/>
      <c r="AP25" s="384"/>
      <c r="AQ25" s="384"/>
      <c r="AR25" s="386"/>
      <c r="AS25" s="384">
        <v>0</v>
      </c>
      <c r="AT25" s="384"/>
      <c r="AU25" s="384"/>
      <c r="AV25" s="384"/>
      <c r="AW25" s="386"/>
      <c r="AX25" s="384">
        <f t="shared" si="8"/>
        <v>0</v>
      </c>
      <c r="AY25" s="384"/>
      <c r="AZ25" s="384"/>
      <c r="BA25" s="384"/>
      <c r="BB25" s="386"/>
      <c r="BC25" s="384">
        <f t="shared" si="12"/>
        <v>-5.8207660913467407E-11</v>
      </c>
      <c r="BD25" s="384"/>
      <c r="BE25" s="384"/>
      <c r="BF25" s="384"/>
      <c r="BG25" s="384">
        <f t="shared" si="17"/>
        <v>0</v>
      </c>
      <c r="BH25" s="384"/>
      <c r="BI25" s="384"/>
      <c r="BJ25" s="384"/>
      <c r="BK25" s="384"/>
      <c r="BL25" s="384">
        <f t="shared" si="16"/>
        <v>0</v>
      </c>
      <c r="BM25" s="384"/>
      <c r="BN25" s="384"/>
      <c r="BO25" s="384"/>
      <c r="BP25" s="384"/>
      <c r="BQ25" s="384">
        <f t="shared" si="9"/>
        <v>0</v>
      </c>
      <c r="BR25" s="384"/>
      <c r="BS25" s="384"/>
      <c r="BT25" s="384"/>
      <c r="BU25" s="386"/>
      <c r="BV25" s="384">
        <f t="shared" si="10"/>
        <v>-5.8207660913467407E-11</v>
      </c>
    </row>
    <row r="26" spans="1:74" ht="44.45" customHeight="1" x14ac:dyDescent="0.25">
      <c r="A26" s="382" t="s">
        <v>430</v>
      </c>
      <c r="B26" s="383" t="s">
        <v>15</v>
      </c>
      <c r="C26" s="374">
        <v>226</v>
      </c>
      <c r="D26" s="387" t="s">
        <v>504</v>
      </c>
      <c r="E26" s="384">
        <v>1052586.18</v>
      </c>
      <c r="F26" s="384"/>
      <c r="G26" s="384"/>
      <c r="H26" s="384"/>
      <c r="I26" s="384">
        <v>1052586.18</v>
      </c>
      <c r="J26" s="384">
        <f t="shared" si="13"/>
        <v>0</v>
      </c>
      <c r="K26" s="384"/>
      <c r="L26" s="384"/>
      <c r="M26" s="384"/>
      <c r="N26" s="384"/>
      <c r="O26" s="384">
        <f t="shared" si="14"/>
        <v>684181.02</v>
      </c>
      <c r="P26" s="384"/>
      <c r="Q26" s="384"/>
      <c r="R26" s="384"/>
      <c r="S26" s="384">
        <v>684181.02</v>
      </c>
      <c r="T26" s="384">
        <f t="shared" si="6"/>
        <v>0</v>
      </c>
      <c r="U26" s="384"/>
      <c r="V26" s="384"/>
      <c r="W26" s="384"/>
      <c r="X26" s="384"/>
      <c r="Y26" s="384">
        <f t="shared" si="15"/>
        <v>368405.16</v>
      </c>
      <c r="Z26" s="384"/>
      <c r="AA26" s="384"/>
      <c r="AB26" s="384"/>
      <c r="AC26" s="386">
        <v>368405.16</v>
      </c>
      <c r="AD26" s="384">
        <f t="shared" si="7"/>
        <v>0</v>
      </c>
      <c r="AE26" s="384"/>
      <c r="AF26" s="384"/>
      <c r="AG26" s="384"/>
      <c r="AH26" s="386"/>
      <c r="AI26" s="384">
        <f t="shared" si="11"/>
        <v>0</v>
      </c>
      <c r="AJ26" s="384"/>
      <c r="AK26" s="384"/>
      <c r="AL26" s="384"/>
      <c r="AM26" s="386"/>
      <c r="AN26" s="384">
        <v>0</v>
      </c>
      <c r="AO26" s="384"/>
      <c r="AP26" s="384"/>
      <c r="AQ26" s="384"/>
      <c r="AR26" s="386"/>
      <c r="AS26" s="384">
        <v>0</v>
      </c>
      <c r="AT26" s="384"/>
      <c r="AU26" s="384"/>
      <c r="AV26" s="384"/>
      <c r="AW26" s="386"/>
      <c r="AX26" s="384">
        <f t="shared" si="8"/>
        <v>0</v>
      </c>
      <c r="AY26" s="384"/>
      <c r="AZ26" s="384"/>
      <c r="BA26" s="384"/>
      <c r="BB26" s="386"/>
      <c r="BC26" s="384">
        <f t="shared" si="12"/>
        <v>-5.8207660913467407E-11</v>
      </c>
      <c r="BD26" s="384"/>
      <c r="BE26" s="384"/>
      <c r="BF26" s="384"/>
      <c r="BG26" s="384">
        <f t="shared" si="17"/>
        <v>0</v>
      </c>
      <c r="BH26" s="384"/>
      <c r="BI26" s="384"/>
      <c r="BJ26" s="384"/>
      <c r="BK26" s="384"/>
      <c r="BL26" s="384">
        <f t="shared" si="16"/>
        <v>0</v>
      </c>
      <c r="BM26" s="384"/>
      <c r="BN26" s="384"/>
      <c r="BO26" s="384"/>
      <c r="BP26" s="384"/>
      <c r="BQ26" s="384">
        <f t="shared" si="9"/>
        <v>0</v>
      </c>
      <c r="BR26" s="384"/>
      <c r="BS26" s="384"/>
      <c r="BT26" s="384"/>
      <c r="BU26" s="386"/>
      <c r="BV26" s="384">
        <f t="shared" si="10"/>
        <v>-5.8207660913467407E-11</v>
      </c>
    </row>
    <row r="27" spans="1:74" ht="46.9" customHeight="1" x14ac:dyDescent="0.25">
      <c r="A27" s="382" t="s">
        <v>431</v>
      </c>
      <c r="B27" s="383" t="s">
        <v>14</v>
      </c>
      <c r="C27" s="374">
        <v>226</v>
      </c>
      <c r="D27" s="387" t="s">
        <v>505</v>
      </c>
      <c r="E27" s="384">
        <v>1297952.42</v>
      </c>
      <c r="F27" s="384"/>
      <c r="G27" s="384"/>
      <c r="H27" s="384"/>
      <c r="I27" s="384">
        <v>1297952.42</v>
      </c>
      <c r="J27" s="384">
        <f t="shared" si="13"/>
        <v>0</v>
      </c>
      <c r="K27" s="384"/>
      <c r="L27" s="384"/>
      <c r="M27" s="384"/>
      <c r="N27" s="384"/>
      <c r="O27" s="384">
        <f t="shared" si="14"/>
        <v>843669.07</v>
      </c>
      <c r="P27" s="384"/>
      <c r="Q27" s="384"/>
      <c r="R27" s="384"/>
      <c r="S27" s="384">
        <v>843669.07</v>
      </c>
      <c r="T27" s="384">
        <f t="shared" si="6"/>
        <v>0</v>
      </c>
      <c r="U27" s="384"/>
      <c r="V27" s="384"/>
      <c r="W27" s="384"/>
      <c r="X27" s="384"/>
      <c r="Y27" s="384">
        <f t="shared" si="15"/>
        <v>0</v>
      </c>
      <c r="Z27" s="384"/>
      <c r="AA27" s="384"/>
      <c r="AB27" s="384"/>
      <c r="AC27" s="386"/>
      <c r="AD27" s="384">
        <f t="shared" si="7"/>
        <v>454283.35</v>
      </c>
      <c r="AE27" s="384"/>
      <c r="AF27" s="384"/>
      <c r="AG27" s="384"/>
      <c r="AH27" s="386">
        <v>454283.35</v>
      </c>
      <c r="AI27" s="384">
        <f t="shared" si="11"/>
        <v>0</v>
      </c>
      <c r="AJ27" s="384"/>
      <c r="AK27" s="384"/>
      <c r="AL27" s="384"/>
      <c r="AM27" s="386"/>
      <c r="AN27" s="384">
        <v>0</v>
      </c>
      <c r="AO27" s="384"/>
      <c r="AP27" s="384"/>
      <c r="AQ27" s="384"/>
      <c r="AR27" s="386"/>
      <c r="AS27" s="384">
        <v>0</v>
      </c>
      <c r="AT27" s="384"/>
      <c r="AU27" s="384"/>
      <c r="AV27" s="384"/>
      <c r="AW27" s="386"/>
      <c r="AX27" s="384">
        <f t="shared" si="8"/>
        <v>0</v>
      </c>
      <c r="AY27" s="384"/>
      <c r="AZ27" s="384"/>
      <c r="BA27" s="384"/>
      <c r="BB27" s="386"/>
      <c r="BC27" s="384">
        <f t="shared" si="12"/>
        <v>0</v>
      </c>
      <c r="BD27" s="384"/>
      <c r="BE27" s="384"/>
      <c r="BF27" s="384"/>
      <c r="BG27" s="384">
        <f t="shared" si="17"/>
        <v>0</v>
      </c>
      <c r="BH27" s="384"/>
      <c r="BI27" s="384"/>
      <c r="BJ27" s="384"/>
      <c r="BK27" s="384"/>
      <c r="BL27" s="384">
        <f t="shared" si="16"/>
        <v>0</v>
      </c>
      <c r="BM27" s="384"/>
      <c r="BN27" s="384"/>
      <c r="BO27" s="384"/>
      <c r="BP27" s="384"/>
      <c r="BQ27" s="384">
        <f t="shared" si="9"/>
        <v>0</v>
      </c>
      <c r="BR27" s="384"/>
      <c r="BS27" s="384"/>
      <c r="BT27" s="384"/>
      <c r="BU27" s="386"/>
      <c r="BV27" s="384">
        <f t="shared" si="10"/>
        <v>0</v>
      </c>
    </row>
    <row r="28" spans="1:74" ht="48.6" customHeight="1" x14ac:dyDescent="0.25">
      <c r="A28" s="382" t="s">
        <v>432</v>
      </c>
      <c r="B28" s="383" t="s">
        <v>270</v>
      </c>
      <c r="C28" s="374">
        <v>226</v>
      </c>
      <c r="D28" s="387" t="s">
        <v>506</v>
      </c>
      <c r="E28" s="384">
        <v>93059.04</v>
      </c>
      <c r="F28" s="384"/>
      <c r="G28" s="384"/>
      <c r="H28" s="384"/>
      <c r="I28" s="384">
        <v>93059.04</v>
      </c>
      <c r="J28" s="384">
        <f t="shared" si="13"/>
        <v>0</v>
      </c>
      <c r="K28" s="384"/>
      <c r="L28" s="384"/>
      <c r="M28" s="384"/>
      <c r="N28" s="384"/>
      <c r="O28" s="384">
        <f t="shared" si="14"/>
        <v>0</v>
      </c>
      <c r="P28" s="384"/>
      <c r="Q28" s="384"/>
      <c r="R28" s="384"/>
      <c r="S28" s="384"/>
      <c r="T28" s="384">
        <f t="shared" si="6"/>
        <v>0</v>
      </c>
      <c r="U28" s="384"/>
      <c r="V28" s="384"/>
      <c r="W28" s="384"/>
      <c r="X28" s="384"/>
      <c r="Y28" s="384">
        <f t="shared" si="15"/>
        <v>93059.04</v>
      </c>
      <c r="Z28" s="384"/>
      <c r="AA28" s="384"/>
      <c r="AB28" s="384"/>
      <c r="AC28" s="386">
        <v>93059.04</v>
      </c>
      <c r="AD28" s="384">
        <f t="shared" si="7"/>
        <v>0</v>
      </c>
      <c r="AE28" s="384"/>
      <c r="AF28" s="384"/>
      <c r="AG28" s="384"/>
      <c r="AH28" s="386"/>
      <c r="AI28" s="384">
        <f t="shared" si="11"/>
        <v>0</v>
      </c>
      <c r="AJ28" s="384"/>
      <c r="AK28" s="384"/>
      <c r="AL28" s="384"/>
      <c r="AM28" s="386"/>
      <c r="AN28" s="384">
        <v>0</v>
      </c>
      <c r="AO28" s="384"/>
      <c r="AP28" s="384"/>
      <c r="AQ28" s="384"/>
      <c r="AR28" s="386"/>
      <c r="AS28" s="384">
        <v>0</v>
      </c>
      <c r="AT28" s="384"/>
      <c r="AU28" s="384"/>
      <c r="AV28" s="384"/>
      <c r="AW28" s="386"/>
      <c r="AX28" s="384">
        <f t="shared" si="8"/>
        <v>0</v>
      </c>
      <c r="AY28" s="384"/>
      <c r="AZ28" s="384"/>
      <c r="BA28" s="384"/>
      <c r="BB28" s="386"/>
      <c r="BC28" s="384">
        <f t="shared" si="12"/>
        <v>0</v>
      </c>
      <c r="BD28" s="384"/>
      <c r="BE28" s="384"/>
      <c r="BF28" s="384"/>
      <c r="BG28" s="384">
        <f t="shared" si="17"/>
        <v>0</v>
      </c>
      <c r="BH28" s="384"/>
      <c r="BI28" s="384"/>
      <c r="BJ28" s="384"/>
      <c r="BK28" s="384"/>
      <c r="BL28" s="384">
        <f t="shared" si="16"/>
        <v>0</v>
      </c>
      <c r="BM28" s="384"/>
      <c r="BN28" s="384"/>
      <c r="BO28" s="384"/>
      <c r="BP28" s="384"/>
      <c r="BQ28" s="384">
        <f t="shared" si="9"/>
        <v>0</v>
      </c>
      <c r="BR28" s="384"/>
      <c r="BS28" s="384"/>
      <c r="BT28" s="384"/>
      <c r="BU28" s="386"/>
      <c r="BV28" s="384">
        <f t="shared" si="10"/>
        <v>0</v>
      </c>
    </row>
    <row r="29" spans="1:74" ht="56.45" customHeight="1" x14ac:dyDescent="0.25">
      <c r="A29" s="382" t="s">
        <v>433</v>
      </c>
      <c r="B29" s="383" t="s">
        <v>428</v>
      </c>
      <c r="C29" s="374">
        <v>226</v>
      </c>
      <c r="D29" s="387" t="s">
        <v>507</v>
      </c>
      <c r="E29" s="384">
        <v>48389.84</v>
      </c>
      <c r="F29" s="384"/>
      <c r="G29" s="384"/>
      <c r="H29" s="384"/>
      <c r="I29" s="384">
        <v>48389.84</v>
      </c>
      <c r="J29" s="384">
        <f t="shared" si="13"/>
        <v>0</v>
      </c>
      <c r="K29" s="384"/>
      <c r="L29" s="384"/>
      <c r="M29" s="384"/>
      <c r="N29" s="384"/>
      <c r="O29" s="384">
        <f t="shared" si="14"/>
        <v>0</v>
      </c>
      <c r="P29" s="384"/>
      <c r="Q29" s="384"/>
      <c r="R29" s="384"/>
      <c r="S29" s="384"/>
      <c r="T29" s="384">
        <f t="shared" si="6"/>
        <v>0</v>
      </c>
      <c r="U29" s="384"/>
      <c r="V29" s="384"/>
      <c r="W29" s="384"/>
      <c r="X29" s="384"/>
      <c r="Y29" s="384">
        <f t="shared" si="15"/>
        <v>0</v>
      </c>
      <c r="Z29" s="384"/>
      <c r="AA29" s="384"/>
      <c r="AB29" s="384"/>
      <c r="AC29" s="386"/>
      <c r="AD29" s="384">
        <f t="shared" si="7"/>
        <v>48389.84</v>
      </c>
      <c r="AE29" s="384"/>
      <c r="AF29" s="384"/>
      <c r="AG29" s="384"/>
      <c r="AH29" s="386">
        <v>48389.84</v>
      </c>
      <c r="AI29" s="384">
        <f t="shared" si="11"/>
        <v>0</v>
      </c>
      <c r="AJ29" s="384"/>
      <c r="AK29" s="384"/>
      <c r="AL29" s="384"/>
      <c r="AM29" s="386"/>
      <c r="AN29" s="384">
        <v>0</v>
      </c>
      <c r="AO29" s="384"/>
      <c r="AP29" s="384"/>
      <c r="AQ29" s="384"/>
      <c r="AR29" s="386"/>
      <c r="AS29" s="384">
        <v>0</v>
      </c>
      <c r="AT29" s="384"/>
      <c r="AU29" s="384"/>
      <c r="AV29" s="384"/>
      <c r="AW29" s="386"/>
      <c r="AX29" s="384">
        <f t="shared" si="8"/>
        <v>0</v>
      </c>
      <c r="AY29" s="384"/>
      <c r="AZ29" s="384"/>
      <c r="BA29" s="384"/>
      <c r="BB29" s="386"/>
      <c r="BC29" s="384">
        <f t="shared" si="12"/>
        <v>0</v>
      </c>
      <c r="BD29" s="384"/>
      <c r="BE29" s="384"/>
      <c r="BF29" s="384"/>
      <c r="BG29" s="384">
        <f t="shared" si="17"/>
        <v>0</v>
      </c>
      <c r="BH29" s="384"/>
      <c r="BI29" s="384"/>
      <c r="BJ29" s="384"/>
      <c r="BK29" s="384"/>
      <c r="BL29" s="384">
        <f t="shared" si="16"/>
        <v>0</v>
      </c>
      <c r="BM29" s="384"/>
      <c r="BN29" s="384"/>
      <c r="BO29" s="384"/>
      <c r="BP29" s="384"/>
      <c r="BQ29" s="384">
        <f t="shared" si="9"/>
        <v>0</v>
      </c>
      <c r="BR29" s="384"/>
      <c r="BS29" s="384"/>
      <c r="BT29" s="384"/>
      <c r="BU29" s="386"/>
      <c r="BV29" s="384">
        <f t="shared" si="10"/>
        <v>0</v>
      </c>
    </row>
    <row r="30" spans="1:74" ht="61.15" customHeight="1" x14ac:dyDescent="0.25">
      <c r="A30" s="382" t="s">
        <v>434</v>
      </c>
      <c r="B30" s="383" t="s">
        <v>208</v>
      </c>
      <c r="C30" s="374">
        <v>226</v>
      </c>
      <c r="D30" s="387" t="s">
        <v>508</v>
      </c>
      <c r="E30" s="384">
        <v>93784.83</v>
      </c>
      <c r="F30" s="384"/>
      <c r="G30" s="384"/>
      <c r="H30" s="384"/>
      <c r="I30" s="384">
        <v>93784.83</v>
      </c>
      <c r="J30" s="384">
        <f t="shared" si="13"/>
        <v>0</v>
      </c>
      <c r="K30" s="384"/>
      <c r="L30" s="384"/>
      <c r="M30" s="384"/>
      <c r="N30" s="384"/>
      <c r="O30" s="384">
        <f t="shared" si="14"/>
        <v>0</v>
      </c>
      <c r="P30" s="384"/>
      <c r="Q30" s="384"/>
      <c r="R30" s="384"/>
      <c r="S30" s="384"/>
      <c r="T30" s="384">
        <f t="shared" si="6"/>
        <v>93784.83</v>
      </c>
      <c r="U30" s="384"/>
      <c r="V30" s="384"/>
      <c r="W30" s="384"/>
      <c r="X30" s="384">
        <v>93784.83</v>
      </c>
      <c r="Y30" s="384">
        <f t="shared" si="15"/>
        <v>0</v>
      </c>
      <c r="Z30" s="384"/>
      <c r="AA30" s="384"/>
      <c r="AB30" s="384"/>
      <c r="AC30" s="386"/>
      <c r="AD30" s="384">
        <f t="shared" ref="AD30:AD34" si="19">SUM(AE30:AH30)</f>
        <v>0</v>
      </c>
      <c r="AE30" s="384"/>
      <c r="AF30" s="384"/>
      <c r="AG30" s="384"/>
      <c r="AH30" s="386"/>
      <c r="AI30" s="384">
        <f t="shared" ref="AI30:AI37" si="20">SUM(AJ30:AM30)</f>
        <v>0</v>
      </c>
      <c r="AJ30" s="384"/>
      <c r="AK30" s="384"/>
      <c r="AL30" s="384"/>
      <c r="AM30" s="386"/>
      <c r="AN30" s="384">
        <v>0</v>
      </c>
      <c r="AO30" s="384"/>
      <c r="AP30" s="384"/>
      <c r="AQ30" s="384"/>
      <c r="AR30" s="386"/>
      <c r="AS30" s="384">
        <v>0</v>
      </c>
      <c r="AT30" s="384"/>
      <c r="AU30" s="384"/>
      <c r="AV30" s="384"/>
      <c r="AW30" s="386"/>
      <c r="AX30" s="384">
        <f t="shared" ref="AX30:AX37" si="21">SUM(AY30:BB30)</f>
        <v>0</v>
      </c>
      <c r="AY30" s="384"/>
      <c r="AZ30" s="384"/>
      <c r="BA30" s="384"/>
      <c r="BB30" s="386"/>
      <c r="BC30" s="384">
        <f t="shared" si="12"/>
        <v>0</v>
      </c>
      <c r="BD30" s="384"/>
      <c r="BE30" s="384"/>
      <c r="BF30" s="384"/>
      <c r="BG30" s="384">
        <f t="shared" si="17"/>
        <v>0</v>
      </c>
      <c r="BH30" s="384"/>
      <c r="BI30" s="384"/>
      <c r="BJ30" s="384"/>
      <c r="BK30" s="384"/>
      <c r="BL30" s="384">
        <f t="shared" si="16"/>
        <v>0</v>
      </c>
      <c r="BM30" s="384"/>
      <c r="BN30" s="384"/>
      <c r="BO30" s="384"/>
      <c r="BP30" s="384"/>
      <c r="BQ30" s="384">
        <f t="shared" ref="BQ30:BQ37" si="22">SUM(BR30:BU30)</f>
        <v>0</v>
      </c>
      <c r="BR30" s="384"/>
      <c r="BS30" s="384"/>
      <c r="BT30" s="384"/>
      <c r="BU30" s="386"/>
      <c r="BV30" s="384">
        <f t="shared" si="10"/>
        <v>0</v>
      </c>
    </row>
    <row r="31" spans="1:74" ht="43.15" customHeight="1" x14ac:dyDescent="0.25">
      <c r="A31" s="382" t="s">
        <v>435</v>
      </c>
      <c r="B31" s="388" t="s">
        <v>248</v>
      </c>
      <c r="C31" s="377">
        <v>226</v>
      </c>
      <c r="D31" s="389" t="s">
        <v>509</v>
      </c>
      <c r="E31" s="384">
        <v>1239</v>
      </c>
      <c r="F31" s="384"/>
      <c r="G31" s="384"/>
      <c r="H31" s="384"/>
      <c r="I31" s="384">
        <v>1239</v>
      </c>
      <c r="J31" s="384">
        <f>K31+L31+M31+N31</f>
        <v>0</v>
      </c>
      <c r="K31" s="384"/>
      <c r="L31" s="384"/>
      <c r="M31" s="384"/>
      <c r="N31" s="384"/>
      <c r="O31" s="384">
        <f>P31+Q31+R31+S31</f>
        <v>0</v>
      </c>
      <c r="P31" s="384"/>
      <c r="Q31" s="384"/>
      <c r="R31" s="384"/>
      <c r="S31" s="384"/>
      <c r="T31" s="384">
        <f>U31+V31+W31+X31</f>
        <v>1239</v>
      </c>
      <c r="U31" s="384"/>
      <c r="V31" s="384"/>
      <c r="W31" s="384"/>
      <c r="X31" s="384">
        <v>1239</v>
      </c>
      <c r="Y31" s="384">
        <f>Z31+AA31+AB31+AC31</f>
        <v>0</v>
      </c>
      <c r="Z31" s="384"/>
      <c r="AA31" s="384"/>
      <c r="AB31" s="384"/>
      <c r="AC31" s="386"/>
      <c r="AD31" s="384">
        <f t="shared" si="19"/>
        <v>0</v>
      </c>
      <c r="AE31" s="384"/>
      <c r="AF31" s="384"/>
      <c r="AG31" s="384"/>
      <c r="AH31" s="386"/>
      <c r="AI31" s="384">
        <f t="shared" si="20"/>
        <v>0</v>
      </c>
      <c r="AJ31" s="384"/>
      <c r="AK31" s="384"/>
      <c r="AL31" s="384"/>
      <c r="AM31" s="386"/>
      <c r="AN31" s="384">
        <v>0</v>
      </c>
      <c r="AO31" s="384"/>
      <c r="AP31" s="384"/>
      <c r="AQ31" s="384"/>
      <c r="AR31" s="386"/>
      <c r="AS31" s="384">
        <v>0</v>
      </c>
      <c r="AT31" s="384"/>
      <c r="AU31" s="384"/>
      <c r="AV31" s="384"/>
      <c r="AW31" s="386"/>
      <c r="AX31" s="384">
        <f t="shared" si="21"/>
        <v>0</v>
      </c>
      <c r="AY31" s="384"/>
      <c r="AZ31" s="384"/>
      <c r="BA31" s="384"/>
      <c r="BB31" s="386"/>
      <c r="BC31" s="384">
        <f t="shared" si="12"/>
        <v>0</v>
      </c>
      <c r="BD31" s="384"/>
      <c r="BE31" s="384"/>
      <c r="BF31" s="384"/>
      <c r="BG31" s="384">
        <f t="shared" ref="BG31:BG34" si="23">SUM(BH31:BK31)</f>
        <v>0</v>
      </c>
      <c r="BH31" s="384"/>
      <c r="BI31" s="384"/>
      <c r="BJ31" s="384"/>
      <c r="BK31" s="384"/>
      <c r="BL31" s="384">
        <f>BM31+BN31+BO31+BP31</f>
        <v>0</v>
      </c>
      <c r="BM31" s="384"/>
      <c r="BN31" s="384"/>
      <c r="BO31" s="384"/>
      <c r="BP31" s="384"/>
      <c r="BQ31" s="384">
        <f t="shared" si="22"/>
        <v>0</v>
      </c>
      <c r="BR31" s="384"/>
      <c r="BS31" s="384"/>
      <c r="BT31" s="384"/>
      <c r="BU31" s="386"/>
      <c r="BV31" s="384">
        <f t="shared" si="10"/>
        <v>0</v>
      </c>
    </row>
    <row r="32" spans="1:74" ht="78" customHeight="1" x14ac:dyDescent="0.25">
      <c r="A32" s="382" t="s">
        <v>445</v>
      </c>
      <c r="B32" s="388" t="s">
        <v>464</v>
      </c>
      <c r="C32" s="377">
        <v>223</v>
      </c>
      <c r="D32" s="390" t="s">
        <v>667</v>
      </c>
      <c r="E32" s="384">
        <f>F32+G32+H32+I32</f>
        <v>0</v>
      </c>
      <c r="F32" s="384"/>
      <c r="G32" s="384"/>
      <c r="H32" s="384"/>
      <c r="I32" s="384">
        <v>0</v>
      </c>
      <c r="J32" s="384">
        <f>K32+L32+M32+N32</f>
        <v>0</v>
      </c>
      <c r="K32" s="384"/>
      <c r="L32" s="384"/>
      <c r="M32" s="384"/>
      <c r="N32" s="384"/>
      <c r="O32" s="384">
        <f>P32+Q32+R32+S32</f>
        <v>0</v>
      </c>
      <c r="P32" s="384"/>
      <c r="Q32" s="384"/>
      <c r="R32" s="384"/>
      <c r="S32" s="384"/>
      <c r="T32" s="384">
        <f>U32+V32+W32+X32</f>
        <v>0</v>
      </c>
      <c r="U32" s="384"/>
      <c r="V32" s="384"/>
      <c r="W32" s="384"/>
      <c r="X32" s="384"/>
      <c r="Y32" s="384">
        <f>Z32+AA32+AB32+AC32</f>
        <v>0</v>
      </c>
      <c r="Z32" s="384"/>
      <c r="AA32" s="384"/>
      <c r="AB32" s="384"/>
      <c r="AC32" s="386"/>
      <c r="AD32" s="384">
        <f t="shared" si="19"/>
        <v>0</v>
      </c>
      <c r="AE32" s="384"/>
      <c r="AF32" s="384"/>
      <c r="AG32" s="384"/>
      <c r="AH32" s="386">
        <v>0</v>
      </c>
      <c r="AI32" s="384">
        <f t="shared" si="20"/>
        <v>0</v>
      </c>
      <c r="AJ32" s="384"/>
      <c r="AK32" s="384"/>
      <c r="AL32" s="384"/>
      <c r="AM32" s="386"/>
      <c r="AN32" s="384">
        <v>0</v>
      </c>
      <c r="AO32" s="384"/>
      <c r="AP32" s="384"/>
      <c r="AQ32" s="384"/>
      <c r="AR32" s="386"/>
      <c r="AS32" s="384">
        <v>0</v>
      </c>
      <c r="AT32" s="384"/>
      <c r="AU32" s="384"/>
      <c r="AV32" s="384"/>
      <c r="AW32" s="386"/>
      <c r="AX32" s="384">
        <f t="shared" si="21"/>
        <v>0</v>
      </c>
      <c r="AY32" s="384"/>
      <c r="AZ32" s="384"/>
      <c r="BA32" s="384"/>
      <c r="BB32" s="386"/>
      <c r="BC32" s="384">
        <f t="shared" si="12"/>
        <v>0</v>
      </c>
      <c r="BD32" s="384"/>
      <c r="BE32" s="384"/>
      <c r="BF32" s="384"/>
      <c r="BG32" s="384">
        <f t="shared" si="23"/>
        <v>0</v>
      </c>
      <c r="BH32" s="384"/>
      <c r="BI32" s="384"/>
      <c r="BJ32" s="384"/>
      <c r="BK32" s="384"/>
      <c r="BL32" s="384">
        <f>BM32+BN32+BO32+BP32</f>
        <v>0</v>
      </c>
      <c r="BM32" s="384"/>
      <c r="BN32" s="384"/>
      <c r="BO32" s="384"/>
      <c r="BP32" s="384"/>
      <c r="BQ32" s="384">
        <f t="shared" si="22"/>
        <v>0</v>
      </c>
      <c r="BR32" s="384"/>
      <c r="BS32" s="384"/>
      <c r="BT32" s="384"/>
      <c r="BU32" s="386"/>
      <c r="BV32" s="384">
        <f t="shared" si="10"/>
        <v>0</v>
      </c>
    </row>
    <row r="33" spans="1:74" ht="39.6" customHeight="1" x14ac:dyDescent="0.25">
      <c r="A33" s="382" t="s">
        <v>450</v>
      </c>
      <c r="B33" s="388" t="s">
        <v>459</v>
      </c>
      <c r="C33" s="377">
        <v>226</v>
      </c>
      <c r="D33" s="390" t="s">
        <v>510</v>
      </c>
      <c r="E33" s="384">
        <f>F33+G33+H33+I33</f>
        <v>9627.3799999999992</v>
      </c>
      <c r="F33" s="384"/>
      <c r="G33" s="384"/>
      <c r="H33" s="384"/>
      <c r="I33" s="384">
        <v>9627.3799999999992</v>
      </c>
      <c r="J33" s="384">
        <f t="shared" ref="J33:J37" si="24">K33+L33+M33+N33</f>
        <v>0</v>
      </c>
      <c r="K33" s="384"/>
      <c r="L33" s="384"/>
      <c r="M33" s="384"/>
      <c r="N33" s="384"/>
      <c r="O33" s="384">
        <f t="shared" ref="O33:O37" si="25">P33+Q33+R33+S33</f>
        <v>0</v>
      </c>
      <c r="P33" s="384"/>
      <c r="Q33" s="384"/>
      <c r="R33" s="384"/>
      <c r="S33" s="384"/>
      <c r="T33" s="384">
        <f t="shared" ref="T33:T37" si="26">U33+V33+W33+X33</f>
        <v>0</v>
      </c>
      <c r="U33" s="384"/>
      <c r="V33" s="384"/>
      <c r="W33" s="384"/>
      <c r="X33" s="384"/>
      <c r="Y33" s="384">
        <f t="shared" ref="Y33:Y37" si="27">Z33+AA33+AB33+AC33</f>
        <v>0</v>
      </c>
      <c r="Z33" s="384"/>
      <c r="AA33" s="384"/>
      <c r="AB33" s="384"/>
      <c r="AC33" s="386"/>
      <c r="AD33" s="384">
        <f t="shared" si="19"/>
        <v>9627.3799999999992</v>
      </c>
      <c r="AE33" s="384"/>
      <c r="AF33" s="384"/>
      <c r="AG33" s="384"/>
      <c r="AH33" s="386">
        <v>9627.3799999999992</v>
      </c>
      <c r="AI33" s="384">
        <f t="shared" si="20"/>
        <v>0</v>
      </c>
      <c r="AJ33" s="384"/>
      <c r="AK33" s="384"/>
      <c r="AL33" s="384"/>
      <c r="AM33" s="386"/>
      <c r="AN33" s="384">
        <v>0</v>
      </c>
      <c r="AO33" s="384"/>
      <c r="AP33" s="384"/>
      <c r="AQ33" s="384"/>
      <c r="AR33" s="386"/>
      <c r="AS33" s="384">
        <v>0</v>
      </c>
      <c r="AT33" s="384"/>
      <c r="AU33" s="384"/>
      <c r="AV33" s="384"/>
      <c r="AW33" s="386"/>
      <c r="AX33" s="384">
        <f t="shared" si="21"/>
        <v>0</v>
      </c>
      <c r="AY33" s="384"/>
      <c r="AZ33" s="384"/>
      <c r="BA33" s="384"/>
      <c r="BB33" s="386"/>
      <c r="BC33" s="384">
        <f t="shared" si="12"/>
        <v>0</v>
      </c>
      <c r="BD33" s="384"/>
      <c r="BE33" s="384"/>
      <c r="BF33" s="384"/>
      <c r="BG33" s="384">
        <f t="shared" si="23"/>
        <v>0</v>
      </c>
      <c r="BH33" s="384"/>
      <c r="BI33" s="384"/>
      <c r="BJ33" s="384"/>
      <c r="BK33" s="384"/>
      <c r="BL33" s="384">
        <f t="shared" ref="BL33:BL37" si="28">BM33+BN33+BO33+BP33</f>
        <v>0</v>
      </c>
      <c r="BM33" s="384"/>
      <c r="BN33" s="384"/>
      <c r="BO33" s="384"/>
      <c r="BP33" s="384"/>
      <c r="BQ33" s="384">
        <f t="shared" si="22"/>
        <v>0</v>
      </c>
      <c r="BR33" s="384"/>
      <c r="BS33" s="384"/>
      <c r="BT33" s="384"/>
      <c r="BU33" s="386"/>
      <c r="BV33" s="384">
        <f t="shared" si="10"/>
        <v>0</v>
      </c>
    </row>
    <row r="34" spans="1:74" ht="55.15" customHeight="1" x14ac:dyDescent="0.25">
      <c r="A34" s="382" t="s">
        <v>454</v>
      </c>
      <c r="B34" s="388" t="s">
        <v>465</v>
      </c>
      <c r="C34" s="377">
        <v>226</v>
      </c>
      <c r="D34" s="390" t="s">
        <v>511</v>
      </c>
      <c r="E34" s="384">
        <f>F34+G34+H34+I34</f>
        <v>1773.07</v>
      </c>
      <c r="F34" s="384"/>
      <c r="G34" s="384"/>
      <c r="H34" s="384"/>
      <c r="I34" s="384">
        <v>1773.07</v>
      </c>
      <c r="J34" s="384">
        <f t="shared" si="24"/>
        <v>0</v>
      </c>
      <c r="K34" s="384"/>
      <c r="L34" s="384"/>
      <c r="M34" s="384"/>
      <c r="N34" s="384"/>
      <c r="O34" s="384">
        <f t="shared" si="25"/>
        <v>0</v>
      </c>
      <c r="P34" s="384"/>
      <c r="Q34" s="384"/>
      <c r="R34" s="384"/>
      <c r="S34" s="384"/>
      <c r="T34" s="384">
        <f t="shared" si="26"/>
        <v>0</v>
      </c>
      <c r="U34" s="384"/>
      <c r="V34" s="384"/>
      <c r="W34" s="384"/>
      <c r="X34" s="384"/>
      <c r="Y34" s="384">
        <f t="shared" si="27"/>
        <v>0</v>
      </c>
      <c r="Z34" s="384"/>
      <c r="AA34" s="384"/>
      <c r="AB34" s="384"/>
      <c r="AC34" s="386"/>
      <c r="AD34" s="384">
        <f t="shared" si="19"/>
        <v>1773.07</v>
      </c>
      <c r="AE34" s="384"/>
      <c r="AF34" s="384"/>
      <c r="AG34" s="384"/>
      <c r="AH34" s="386">
        <v>1773.07</v>
      </c>
      <c r="AI34" s="384">
        <f t="shared" si="20"/>
        <v>0</v>
      </c>
      <c r="AJ34" s="384"/>
      <c r="AK34" s="384"/>
      <c r="AL34" s="384"/>
      <c r="AM34" s="386"/>
      <c r="AN34" s="384">
        <v>0</v>
      </c>
      <c r="AO34" s="384"/>
      <c r="AP34" s="384"/>
      <c r="AQ34" s="384"/>
      <c r="AR34" s="386"/>
      <c r="AS34" s="384">
        <v>0</v>
      </c>
      <c r="AT34" s="384"/>
      <c r="AU34" s="384"/>
      <c r="AV34" s="384"/>
      <c r="AW34" s="386"/>
      <c r="AX34" s="384">
        <f t="shared" si="21"/>
        <v>0</v>
      </c>
      <c r="AY34" s="384"/>
      <c r="AZ34" s="384"/>
      <c r="BA34" s="384"/>
      <c r="BB34" s="386"/>
      <c r="BC34" s="384">
        <f t="shared" si="12"/>
        <v>0</v>
      </c>
      <c r="BD34" s="384"/>
      <c r="BE34" s="384"/>
      <c r="BF34" s="384"/>
      <c r="BG34" s="384">
        <f t="shared" si="23"/>
        <v>0</v>
      </c>
      <c r="BH34" s="384"/>
      <c r="BI34" s="384"/>
      <c r="BJ34" s="384"/>
      <c r="BK34" s="384"/>
      <c r="BL34" s="384">
        <f t="shared" si="28"/>
        <v>0</v>
      </c>
      <c r="BM34" s="384"/>
      <c r="BN34" s="384"/>
      <c r="BO34" s="384"/>
      <c r="BP34" s="384"/>
      <c r="BQ34" s="384">
        <f t="shared" si="22"/>
        <v>0</v>
      </c>
      <c r="BR34" s="384"/>
      <c r="BS34" s="384"/>
      <c r="BT34" s="384"/>
      <c r="BU34" s="386"/>
      <c r="BV34" s="384">
        <f t="shared" si="10"/>
        <v>0</v>
      </c>
    </row>
    <row r="35" spans="1:74" ht="91.15" customHeight="1" x14ac:dyDescent="0.25">
      <c r="A35" s="382" t="s">
        <v>460</v>
      </c>
      <c r="B35" s="388" t="s">
        <v>470</v>
      </c>
      <c r="C35" s="377">
        <v>226</v>
      </c>
      <c r="D35" s="390" t="s">
        <v>687</v>
      </c>
      <c r="E35" s="384">
        <f>F35+G35+H35+I35</f>
        <v>91800</v>
      </c>
      <c r="F35" s="384"/>
      <c r="G35" s="384"/>
      <c r="H35" s="384"/>
      <c r="I35" s="384">
        <v>91800</v>
      </c>
      <c r="J35" s="384">
        <f t="shared" si="24"/>
        <v>0</v>
      </c>
      <c r="K35" s="384"/>
      <c r="L35" s="384"/>
      <c r="M35" s="384"/>
      <c r="N35" s="384"/>
      <c r="O35" s="384">
        <f t="shared" si="25"/>
        <v>0</v>
      </c>
      <c r="P35" s="384"/>
      <c r="Q35" s="384"/>
      <c r="R35" s="384"/>
      <c r="S35" s="384"/>
      <c r="T35" s="384">
        <f t="shared" si="26"/>
        <v>0</v>
      </c>
      <c r="U35" s="384"/>
      <c r="V35" s="384"/>
      <c r="W35" s="384"/>
      <c r="X35" s="384"/>
      <c r="Y35" s="384">
        <f t="shared" si="27"/>
        <v>0</v>
      </c>
      <c r="Z35" s="384"/>
      <c r="AA35" s="384"/>
      <c r="AB35" s="384"/>
      <c r="AC35" s="386"/>
      <c r="AD35" s="384">
        <f t="shared" ref="AD35" si="29">SUM(AE35:AH35)</f>
        <v>29970</v>
      </c>
      <c r="AE35" s="384"/>
      <c r="AF35" s="384"/>
      <c r="AG35" s="384"/>
      <c r="AH35" s="386">
        <v>29970</v>
      </c>
      <c r="AI35" s="384">
        <f t="shared" si="20"/>
        <v>61830</v>
      </c>
      <c r="AJ35" s="384"/>
      <c r="AK35" s="384"/>
      <c r="AL35" s="384"/>
      <c r="AM35" s="386">
        <v>61830</v>
      </c>
      <c r="AN35" s="384">
        <v>0</v>
      </c>
      <c r="AO35" s="384"/>
      <c r="AP35" s="384"/>
      <c r="AQ35" s="384"/>
      <c r="AR35" s="386"/>
      <c r="AS35" s="384">
        <v>0</v>
      </c>
      <c r="AT35" s="384"/>
      <c r="AU35" s="384"/>
      <c r="AV35" s="384"/>
      <c r="AW35" s="386"/>
      <c r="AX35" s="384">
        <f t="shared" si="21"/>
        <v>0</v>
      </c>
      <c r="AY35" s="384"/>
      <c r="AZ35" s="384"/>
      <c r="BA35" s="384"/>
      <c r="BB35" s="386"/>
      <c r="BC35" s="384">
        <f t="shared" si="12"/>
        <v>0</v>
      </c>
      <c r="BD35" s="384"/>
      <c r="BE35" s="384"/>
      <c r="BF35" s="384"/>
      <c r="BG35" s="384">
        <f t="shared" ref="BG35:BG42" si="30">SUM(BH35:BK35)</f>
        <v>0</v>
      </c>
      <c r="BH35" s="384"/>
      <c r="BI35" s="384"/>
      <c r="BJ35" s="384"/>
      <c r="BK35" s="384"/>
      <c r="BL35" s="384">
        <f t="shared" si="28"/>
        <v>0</v>
      </c>
      <c r="BM35" s="384"/>
      <c r="BN35" s="384"/>
      <c r="BO35" s="384"/>
      <c r="BP35" s="384"/>
      <c r="BQ35" s="384">
        <f t="shared" si="22"/>
        <v>0</v>
      </c>
      <c r="BR35" s="384"/>
      <c r="BS35" s="384"/>
      <c r="BT35" s="384"/>
      <c r="BU35" s="386"/>
      <c r="BV35" s="384">
        <f t="shared" si="10"/>
        <v>0</v>
      </c>
    </row>
    <row r="36" spans="1:74" ht="45.6" customHeight="1" x14ac:dyDescent="0.25">
      <c r="A36" s="382" t="s">
        <v>461</v>
      </c>
      <c r="B36" s="388" t="s">
        <v>479</v>
      </c>
      <c r="C36" s="377">
        <v>226</v>
      </c>
      <c r="D36" s="390" t="s">
        <v>512</v>
      </c>
      <c r="E36" s="384">
        <f t="shared" ref="E36" si="31">F36+G36+H36+I36</f>
        <v>81000</v>
      </c>
      <c r="F36" s="384"/>
      <c r="G36" s="384"/>
      <c r="H36" s="384"/>
      <c r="I36" s="384">
        <v>81000</v>
      </c>
      <c r="J36" s="384">
        <f t="shared" si="24"/>
        <v>0</v>
      </c>
      <c r="K36" s="384"/>
      <c r="L36" s="384"/>
      <c r="M36" s="384"/>
      <c r="N36" s="384"/>
      <c r="O36" s="384">
        <f t="shared" si="25"/>
        <v>0</v>
      </c>
      <c r="P36" s="384"/>
      <c r="Q36" s="384"/>
      <c r="R36" s="384"/>
      <c r="S36" s="384"/>
      <c r="T36" s="384">
        <f t="shared" si="26"/>
        <v>0</v>
      </c>
      <c r="U36" s="384"/>
      <c r="V36" s="384"/>
      <c r="W36" s="384"/>
      <c r="X36" s="384"/>
      <c r="Y36" s="384">
        <f t="shared" si="27"/>
        <v>0</v>
      </c>
      <c r="Z36" s="384"/>
      <c r="AA36" s="384"/>
      <c r="AB36" s="384"/>
      <c r="AC36" s="386"/>
      <c r="AD36" s="384">
        <f t="shared" ref="AD36:AD37" si="32">SUM(AE36:AH36)</f>
        <v>0</v>
      </c>
      <c r="AE36" s="384"/>
      <c r="AF36" s="384"/>
      <c r="AG36" s="384"/>
      <c r="AH36" s="386">
        <v>0</v>
      </c>
      <c r="AI36" s="384">
        <f t="shared" si="20"/>
        <v>81000</v>
      </c>
      <c r="AJ36" s="384"/>
      <c r="AK36" s="384"/>
      <c r="AL36" s="384"/>
      <c r="AM36" s="386">
        <v>81000</v>
      </c>
      <c r="AN36" s="384">
        <v>0</v>
      </c>
      <c r="AO36" s="384"/>
      <c r="AP36" s="384"/>
      <c r="AQ36" s="384"/>
      <c r="AR36" s="386"/>
      <c r="AS36" s="384">
        <v>0</v>
      </c>
      <c r="AT36" s="384"/>
      <c r="AU36" s="384"/>
      <c r="AV36" s="384"/>
      <c r="AW36" s="386"/>
      <c r="AX36" s="384">
        <f t="shared" si="21"/>
        <v>0</v>
      </c>
      <c r="AY36" s="384"/>
      <c r="AZ36" s="384"/>
      <c r="BA36" s="384"/>
      <c r="BB36" s="386"/>
      <c r="BC36" s="384">
        <f t="shared" si="12"/>
        <v>0</v>
      </c>
      <c r="BD36" s="384"/>
      <c r="BE36" s="384"/>
      <c r="BF36" s="384"/>
      <c r="BG36" s="384">
        <f t="shared" si="30"/>
        <v>0</v>
      </c>
      <c r="BH36" s="384"/>
      <c r="BI36" s="384"/>
      <c r="BJ36" s="384"/>
      <c r="BK36" s="384"/>
      <c r="BL36" s="384">
        <f t="shared" si="28"/>
        <v>0</v>
      </c>
      <c r="BM36" s="384"/>
      <c r="BN36" s="384"/>
      <c r="BO36" s="384"/>
      <c r="BP36" s="384"/>
      <c r="BQ36" s="384">
        <f t="shared" si="22"/>
        <v>0</v>
      </c>
      <c r="BR36" s="384"/>
      <c r="BS36" s="384"/>
      <c r="BT36" s="384"/>
      <c r="BU36" s="386"/>
      <c r="BV36" s="384">
        <f t="shared" si="10"/>
        <v>0</v>
      </c>
    </row>
    <row r="37" spans="1:74" ht="201.75" customHeight="1" x14ac:dyDescent="0.25">
      <c r="A37" s="382" t="s">
        <v>469</v>
      </c>
      <c r="B37" s="388" t="s">
        <v>488</v>
      </c>
      <c r="C37" s="377">
        <v>226</v>
      </c>
      <c r="D37" s="390" t="s">
        <v>715</v>
      </c>
      <c r="E37" s="384">
        <f>I37</f>
        <v>1107572.93</v>
      </c>
      <c r="F37" s="384"/>
      <c r="G37" s="384"/>
      <c r="H37" s="384"/>
      <c r="I37" s="384">
        <v>1107572.93</v>
      </c>
      <c r="J37" s="384">
        <f t="shared" si="24"/>
        <v>0</v>
      </c>
      <c r="K37" s="384"/>
      <c r="L37" s="384"/>
      <c r="M37" s="384"/>
      <c r="N37" s="384"/>
      <c r="O37" s="384">
        <f t="shared" si="25"/>
        <v>0</v>
      </c>
      <c r="P37" s="384"/>
      <c r="Q37" s="384"/>
      <c r="R37" s="384"/>
      <c r="S37" s="384"/>
      <c r="T37" s="384">
        <f t="shared" si="26"/>
        <v>0</v>
      </c>
      <c r="U37" s="384"/>
      <c r="V37" s="384"/>
      <c r="W37" s="384"/>
      <c r="X37" s="384"/>
      <c r="Y37" s="384">
        <f t="shared" si="27"/>
        <v>0</v>
      </c>
      <c r="Z37" s="384"/>
      <c r="AA37" s="384"/>
      <c r="AB37" s="384"/>
      <c r="AC37" s="386"/>
      <c r="AD37" s="384">
        <f t="shared" si="32"/>
        <v>0</v>
      </c>
      <c r="AE37" s="384"/>
      <c r="AF37" s="384"/>
      <c r="AG37" s="384"/>
      <c r="AH37" s="386">
        <v>0</v>
      </c>
      <c r="AI37" s="384">
        <f t="shared" si="20"/>
        <v>0</v>
      </c>
      <c r="AJ37" s="384"/>
      <c r="AK37" s="384"/>
      <c r="AL37" s="384"/>
      <c r="AM37" s="386">
        <v>0</v>
      </c>
      <c r="AN37" s="384">
        <v>0</v>
      </c>
      <c r="AO37" s="384"/>
      <c r="AP37" s="384"/>
      <c r="AQ37" s="384"/>
      <c r="AR37" s="386"/>
      <c r="AS37" s="384">
        <v>1107572.93</v>
      </c>
      <c r="AT37" s="384"/>
      <c r="AU37" s="384"/>
      <c r="AV37" s="384"/>
      <c r="AW37" s="386">
        <v>1107572.93</v>
      </c>
      <c r="AX37" s="384">
        <f t="shared" si="21"/>
        <v>0</v>
      </c>
      <c r="AY37" s="384"/>
      <c r="AZ37" s="384"/>
      <c r="BA37" s="384"/>
      <c r="BB37" s="386"/>
      <c r="BC37" s="384">
        <f t="shared" si="12"/>
        <v>0</v>
      </c>
      <c r="BD37" s="384"/>
      <c r="BE37" s="384"/>
      <c r="BF37" s="384"/>
      <c r="BG37" s="384">
        <f t="shared" si="30"/>
        <v>0</v>
      </c>
      <c r="BH37" s="384"/>
      <c r="BI37" s="384"/>
      <c r="BJ37" s="384"/>
      <c r="BK37" s="384"/>
      <c r="BL37" s="384">
        <f t="shared" si="28"/>
        <v>0</v>
      </c>
      <c r="BM37" s="384"/>
      <c r="BN37" s="384"/>
      <c r="BO37" s="384"/>
      <c r="BP37" s="384"/>
      <c r="BQ37" s="384">
        <f t="shared" si="22"/>
        <v>0</v>
      </c>
      <c r="BR37" s="384"/>
      <c r="BS37" s="384"/>
      <c r="BT37" s="384"/>
      <c r="BU37" s="386"/>
      <c r="BV37" s="384">
        <f t="shared" si="10"/>
        <v>0</v>
      </c>
    </row>
    <row r="38" spans="1:74" ht="43.15" customHeight="1" x14ac:dyDescent="0.25">
      <c r="A38" s="382" t="s">
        <v>478</v>
      </c>
      <c r="B38" s="388" t="s">
        <v>446</v>
      </c>
      <c r="C38" s="377">
        <v>310</v>
      </c>
      <c r="D38" s="390" t="s">
        <v>550</v>
      </c>
      <c r="E38" s="384">
        <v>6211.4</v>
      </c>
      <c r="F38" s="384"/>
      <c r="G38" s="384"/>
      <c r="H38" s="384"/>
      <c r="I38" s="384">
        <v>6211.4</v>
      </c>
      <c r="J38" s="384">
        <f>K38+L38+M38+N38</f>
        <v>0</v>
      </c>
      <c r="K38" s="384"/>
      <c r="L38" s="384"/>
      <c r="M38" s="384"/>
      <c r="N38" s="384"/>
      <c r="O38" s="384">
        <f>P38+Q38+R38+S38</f>
        <v>0</v>
      </c>
      <c r="P38" s="384"/>
      <c r="Q38" s="384"/>
      <c r="R38" s="384"/>
      <c r="S38" s="384"/>
      <c r="T38" s="384">
        <f>U38+V38+W38+X38</f>
        <v>0</v>
      </c>
      <c r="U38" s="384"/>
      <c r="V38" s="384"/>
      <c r="W38" s="384"/>
      <c r="X38" s="384"/>
      <c r="Y38" s="384">
        <f>Z38+AA38+AB38+AC38</f>
        <v>0</v>
      </c>
      <c r="Z38" s="384"/>
      <c r="AA38" s="384"/>
      <c r="AB38" s="384"/>
      <c r="AC38" s="386"/>
      <c r="AD38" s="384">
        <f>SUM(AE38:AH38)</f>
        <v>6211.4</v>
      </c>
      <c r="AE38" s="384"/>
      <c r="AF38" s="384"/>
      <c r="AG38" s="384"/>
      <c r="AH38" s="386">
        <v>6211.4</v>
      </c>
      <c r="AI38" s="384">
        <f>SUM(AJ38:AM38)</f>
        <v>0</v>
      </c>
      <c r="AJ38" s="384"/>
      <c r="AK38" s="384"/>
      <c r="AL38" s="384"/>
      <c r="AM38" s="386">
        <v>0</v>
      </c>
      <c r="AN38" s="384">
        <v>0</v>
      </c>
      <c r="AO38" s="384"/>
      <c r="AP38" s="384"/>
      <c r="AQ38" s="384"/>
      <c r="AR38" s="386"/>
      <c r="AS38" s="384">
        <v>0</v>
      </c>
      <c r="AT38" s="384"/>
      <c r="AU38" s="384"/>
      <c r="AV38" s="384"/>
      <c r="AW38" s="386"/>
      <c r="AX38" s="384">
        <f>SUM(AY38:BB38)</f>
        <v>0</v>
      </c>
      <c r="AY38" s="384"/>
      <c r="AZ38" s="384"/>
      <c r="BA38" s="384"/>
      <c r="BB38" s="386"/>
      <c r="BC38" s="384">
        <f t="shared" si="12"/>
        <v>0</v>
      </c>
      <c r="BD38" s="384"/>
      <c r="BE38" s="384"/>
      <c r="BF38" s="384"/>
      <c r="BG38" s="384">
        <f t="shared" si="30"/>
        <v>0</v>
      </c>
      <c r="BH38" s="384"/>
      <c r="BI38" s="384"/>
      <c r="BJ38" s="384"/>
      <c r="BK38" s="384"/>
      <c r="BL38" s="384">
        <f>BM38+BN38+BO38+BP38</f>
        <v>0</v>
      </c>
      <c r="BM38" s="384"/>
      <c r="BN38" s="384"/>
      <c r="BO38" s="384"/>
      <c r="BP38" s="384"/>
      <c r="BQ38" s="384">
        <f>SUM(BR38:BU38)</f>
        <v>0</v>
      </c>
      <c r="BR38" s="384"/>
      <c r="BS38" s="384"/>
      <c r="BT38" s="384"/>
      <c r="BU38" s="386"/>
      <c r="BV38" s="384">
        <f t="shared" si="10"/>
        <v>0</v>
      </c>
    </row>
    <row r="39" spans="1:74" ht="43.15" customHeight="1" x14ac:dyDescent="0.25">
      <c r="A39" s="382" t="s">
        <v>486</v>
      </c>
      <c r="B39" s="388" t="s">
        <v>451</v>
      </c>
      <c r="C39" s="377">
        <v>290</v>
      </c>
      <c r="D39" s="389"/>
      <c r="E39" s="384">
        <f>F39+G39+H39+I39</f>
        <v>70000</v>
      </c>
      <c r="F39" s="384"/>
      <c r="G39" s="384"/>
      <c r="H39" s="384"/>
      <c r="I39" s="384">
        <v>70000</v>
      </c>
      <c r="J39" s="384">
        <f>K39+L39+M39+N39</f>
        <v>0</v>
      </c>
      <c r="K39" s="384"/>
      <c r="L39" s="384"/>
      <c r="M39" s="384"/>
      <c r="N39" s="384"/>
      <c r="O39" s="384">
        <f>P39+Q39+R39+S39</f>
        <v>0</v>
      </c>
      <c r="P39" s="384"/>
      <c r="Q39" s="384"/>
      <c r="R39" s="384"/>
      <c r="S39" s="384"/>
      <c r="T39" s="384">
        <f>U39+V39+W39+X39</f>
        <v>0</v>
      </c>
      <c r="U39" s="384"/>
      <c r="V39" s="384"/>
      <c r="W39" s="384"/>
      <c r="X39" s="384"/>
      <c r="Y39" s="384">
        <f>Z39+AA39+AB39+AC39</f>
        <v>0</v>
      </c>
      <c r="Z39" s="384"/>
      <c r="AA39" s="384"/>
      <c r="AB39" s="384"/>
      <c r="AC39" s="386"/>
      <c r="AD39" s="384">
        <f>SUM(AE39:AH39)</f>
        <v>70000</v>
      </c>
      <c r="AE39" s="384"/>
      <c r="AF39" s="384"/>
      <c r="AG39" s="384"/>
      <c r="AH39" s="386">
        <v>70000</v>
      </c>
      <c r="AI39" s="384">
        <f>SUM(AJ39:AM39)</f>
        <v>0</v>
      </c>
      <c r="AJ39" s="384"/>
      <c r="AK39" s="384"/>
      <c r="AL39" s="384"/>
      <c r="AM39" s="386">
        <v>0</v>
      </c>
      <c r="AN39" s="384">
        <v>0</v>
      </c>
      <c r="AO39" s="384"/>
      <c r="AP39" s="384"/>
      <c r="AQ39" s="384"/>
      <c r="AR39" s="386"/>
      <c r="AS39" s="384">
        <v>0</v>
      </c>
      <c r="AT39" s="384"/>
      <c r="AU39" s="384"/>
      <c r="AV39" s="384"/>
      <c r="AW39" s="386"/>
      <c r="AX39" s="384">
        <f>SUM(AY39:BB39)</f>
        <v>0</v>
      </c>
      <c r="AY39" s="384"/>
      <c r="AZ39" s="384"/>
      <c r="BA39" s="384"/>
      <c r="BB39" s="386"/>
      <c r="BC39" s="384">
        <f t="shared" si="12"/>
        <v>0</v>
      </c>
      <c r="BD39" s="384"/>
      <c r="BE39" s="384"/>
      <c r="BF39" s="384"/>
      <c r="BG39" s="384">
        <f t="shared" si="30"/>
        <v>0</v>
      </c>
      <c r="BH39" s="384"/>
      <c r="BI39" s="384"/>
      <c r="BJ39" s="384"/>
      <c r="BK39" s="384"/>
      <c r="BL39" s="384">
        <f>BM39+BN39+BO39+BP39</f>
        <v>0</v>
      </c>
      <c r="BM39" s="384"/>
      <c r="BN39" s="384"/>
      <c r="BO39" s="384"/>
      <c r="BP39" s="384"/>
      <c r="BQ39" s="384">
        <f>SUM(BR39:BU39)</f>
        <v>0</v>
      </c>
      <c r="BR39" s="384"/>
      <c r="BS39" s="384"/>
      <c r="BT39" s="384"/>
      <c r="BU39" s="386"/>
      <c r="BV39" s="384">
        <f t="shared" si="10"/>
        <v>0</v>
      </c>
    </row>
    <row r="40" spans="1:74" ht="97.15" customHeight="1" x14ac:dyDescent="0.25">
      <c r="A40" s="382" t="s">
        <v>699</v>
      </c>
      <c r="B40" s="388" t="s">
        <v>698</v>
      </c>
      <c r="C40" s="377">
        <v>226</v>
      </c>
      <c r="D40" s="387" t="s">
        <v>703</v>
      </c>
      <c r="E40" s="384">
        <f>F40+G40+H40+I40</f>
        <v>1690.14</v>
      </c>
      <c r="F40" s="384"/>
      <c r="G40" s="384"/>
      <c r="H40" s="384"/>
      <c r="I40" s="384">
        <v>1690.14</v>
      </c>
      <c r="J40" s="384">
        <f>K40+L40+M40+N40</f>
        <v>0</v>
      </c>
      <c r="K40" s="384"/>
      <c r="L40" s="384"/>
      <c r="M40" s="384"/>
      <c r="N40" s="384"/>
      <c r="O40" s="384">
        <f>P40+Q40+R40+S40</f>
        <v>0</v>
      </c>
      <c r="P40" s="384"/>
      <c r="Q40" s="384"/>
      <c r="R40" s="384"/>
      <c r="S40" s="384"/>
      <c r="T40" s="384">
        <f>U40+V40+W40+X40</f>
        <v>0</v>
      </c>
      <c r="U40" s="384"/>
      <c r="V40" s="384"/>
      <c r="W40" s="384"/>
      <c r="X40" s="384"/>
      <c r="Y40" s="384">
        <f>Z40+AA40+AB40+AC40</f>
        <v>0</v>
      </c>
      <c r="Z40" s="384"/>
      <c r="AA40" s="384"/>
      <c r="AB40" s="384"/>
      <c r="AC40" s="386"/>
      <c r="AD40" s="384">
        <f>SUM(AE40:AH40)</f>
        <v>0</v>
      </c>
      <c r="AE40" s="384"/>
      <c r="AF40" s="384"/>
      <c r="AG40" s="384"/>
      <c r="AH40" s="386"/>
      <c r="AI40" s="384">
        <f>SUM(AJ40:AM40)</f>
        <v>0</v>
      </c>
      <c r="AJ40" s="384"/>
      <c r="AK40" s="384"/>
      <c r="AL40" s="384"/>
      <c r="AM40" s="386"/>
      <c r="AN40" s="384">
        <v>1690.14</v>
      </c>
      <c r="AO40" s="384"/>
      <c r="AP40" s="384"/>
      <c r="AQ40" s="384"/>
      <c r="AR40" s="386">
        <v>1690.14</v>
      </c>
      <c r="AS40" s="384">
        <v>0</v>
      </c>
      <c r="AT40" s="384"/>
      <c r="AU40" s="384"/>
      <c r="AV40" s="384"/>
      <c r="AW40" s="386"/>
      <c r="AX40" s="384">
        <f>SUM(AY40:BB40)</f>
        <v>0</v>
      </c>
      <c r="AY40" s="384"/>
      <c r="AZ40" s="384"/>
      <c r="BA40" s="384"/>
      <c r="BB40" s="386"/>
      <c r="BC40" s="384">
        <f t="shared" si="12"/>
        <v>0</v>
      </c>
      <c r="BD40" s="384"/>
      <c r="BE40" s="384"/>
      <c r="BF40" s="384"/>
      <c r="BG40" s="384">
        <f t="shared" si="30"/>
        <v>0</v>
      </c>
      <c r="BH40" s="384"/>
      <c r="BI40" s="384"/>
      <c r="BJ40" s="384"/>
      <c r="BK40" s="384"/>
      <c r="BL40" s="384">
        <f>BM40+BN40+BO40+BP40</f>
        <v>0</v>
      </c>
      <c r="BM40" s="384"/>
      <c r="BN40" s="384"/>
      <c r="BO40" s="384"/>
      <c r="BP40" s="384"/>
      <c r="BQ40" s="384">
        <f>SUM(BR40:BU40)</f>
        <v>0</v>
      </c>
      <c r="BR40" s="384"/>
      <c r="BS40" s="384"/>
      <c r="BT40" s="384"/>
      <c r="BU40" s="386"/>
      <c r="BV40" s="384">
        <f t="shared" si="10"/>
        <v>0</v>
      </c>
    </row>
    <row r="41" spans="1:74" ht="97.15" customHeight="1" x14ac:dyDescent="0.25">
      <c r="A41" s="382" t="s">
        <v>713</v>
      </c>
      <c r="B41" s="383" t="s">
        <v>708</v>
      </c>
      <c r="C41" s="374">
        <v>226</v>
      </c>
      <c r="D41" s="387" t="s">
        <v>722</v>
      </c>
      <c r="E41" s="384">
        <f>F41+G41+H41+I41</f>
        <v>2215.15</v>
      </c>
      <c r="F41" s="384"/>
      <c r="G41" s="384"/>
      <c r="H41" s="384"/>
      <c r="I41" s="384">
        <v>2215.15</v>
      </c>
      <c r="J41" s="384">
        <v>0</v>
      </c>
      <c r="K41" s="384"/>
      <c r="L41" s="384"/>
      <c r="M41" s="384"/>
      <c r="N41" s="384"/>
      <c r="O41" s="384">
        <v>0</v>
      </c>
      <c r="P41" s="384"/>
      <c r="Q41" s="384"/>
      <c r="R41" s="384"/>
      <c r="S41" s="384"/>
      <c r="T41" s="384">
        <v>0</v>
      </c>
      <c r="U41" s="384"/>
      <c r="V41" s="384"/>
      <c r="W41" s="384"/>
      <c r="X41" s="384"/>
      <c r="Y41" s="384">
        <v>0</v>
      </c>
      <c r="Z41" s="384"/>
      <c r="AA41" s="384"/>
      <c r="AB41" s="384"/>
      <c r="AC41" s="386"/>
      <c r="AD41" s="384">
        <v>0</v>
      </c>
      <c r="AE41" s="384"/>
      <c r="AF41" s="384"/>
      <c r="AG41" s="384"/>
      <c r="AH41" s="386"/>
      <c r="AI41" s="384">
        <v>0</v>
      </c>
      <c r="AJ41" s="384"/>
      <c r="AK41" s="384"/>
      <c r="AL41" s="384"/>
      <c r="AM41" s="386"/>
      <c r="AN41" s="384">
        <v>0</v>
      </c>
      <c r="AO41" s="384"/>
      <c r="AP41" s="384"/>
      <c r="AQ41" s="384"/>
      <c r="AR41" s="386"/>
      <c r="AS41" s="384">
        <v>2215.15</v>
      </c>
      <c r="AT41" s="384"/>
      <c r="AU41" s="384"/>
      <c r="AV41" s="384"/>
      <c r="AW41" s="386">
        <v>2215.15</v>
      </c>
      <c r="AX41" s="384">
        <f>SUM(AY41:BB41)</f>
        <v>0</v>
      </c>
      <c r="AY41" s="384"/>
      <c r="AZ41" s="384"/>
      <c r="BA41" s="384"/>
      <c r="BB41" s="384"/>
      <c r="BC41" s="384">
        <f t="shared" si="12"/>
        <v>0</v>
      </c>
      <c r="BD41" s="384"/>
      <c r="BE41" s="384"/>
      <c r="BF41" s="384"/>
      <c r="BG41" s="384">
        <f t="shared" si="30"/>
        <v>0</v>
      </c>
      <c r="BH41" s="384"/>
      <c r="BI41" s="384"/>
      <c r="BJ41" s="384"/>
      <c r="BK41" s="384"/>
      <c r="BL41" s="384">
        <f>BM41+BN41+BO41+BP41</f>
        <v>0</v>
      </c>
      <c r="BM41" s="384"/>
      <c r="BN41" s="384"/>
      <c r="BO41" s="384"/>
      <c r="BP41" s="384"/>
      <c r="BQ41" s="384">
        <f>SUM(BR41:BU41)</f>
        <v>0</v>
      </c>
      <c r="BR41" s="384"/>
      <c r="BS41" s="384"/>
      <c r="BT41" s="384"/>
      <c r="BU41" s="384"/>
      <c r="BV41" s="384">
        <f t="shared" si="10"/>
        <v>0</v>
      </c>
    </row>
    <row r="42" spans="1:74" ht="97.15" customHeight="1" x14ac:dyDescent="0.25">
      <c r="A42" s="382" t="s">
        <v>720</v>
      </c>
      <c r="B42" s="383" t="s">
        <v>721</v>
      </c>
      <c r="C42" s="374">
        <v>226</v>
      </c>
      <c r="D42" s="387" t="s">
        <v>723</v>
      </c>
      <c r="E42" s="384">
        <f>F42+G42+H42+I42</f>
        <v>35193.019999999997</v>
      </c>
      <c r="F42" s="384"/>
      <c r="G42" s="384"/>
      <c r="H42" s="384"/>
      <c r="I42" s="384">
        <v>35193.019999999997</v>
      </c>
      <c r="J42" s="384">
        <v>0</v>
      </c>
      <c r="K42" s="384"/>
      <c r="L42" s="384"/>
      <c r="M42" s="384"/>
      <c r="N42" s="384"/>
      <c r="O42" s="384">
        <v>0</v>
      </c>
      <c r="P42" s="384"/>
      <c r="Q42" s="384"/>
      <c r="R42" s="384"/>
      <c r="S42" s="384"/>
      <c r="T42" s="384">
        <v>0</v>
      </c>
      <c r="U42" s="384"/>
      <c r="V42" s="384"/>
      <c r="W42" s="384"/>
      <c r="X42" s="384"/>
      <c r="Y42" s="384">
        <v>0</v>
      </c>
      <c r="Z42" s="384"/>
      <c r="AA42" s="384"/>
      <c r="AB42" s="384"/>
      <c r="AC42" s="386"/>
      <c r="AD42" s="384">
        <v>0</v>
      </c>
      <c r="AE42" s="384"/>
      <c r="AF42" s="384"/>
      <c r="AG42" s="384"/>
      <c r="AH42" s="386"/>
      <c r="AI42" s="384">
        <v>0</v>
      </c>
      <c r="AJ42" s="384"/>
      <c r="AK42" s="384"/>
      <c r="AL42" s="384"/>
      <c r="AM42" s="386"/>
      <c r="AN42" s="384">
        <v>0</v>
      </c>
      <c r="AO42" s="384"/>
      <c r="AP42" s="384"/>
      <c r="AQ42" s="384"/>
      <c r="AR42" s="386"/>
      <c r="AS42" s="384">
        <v>35193.019999999997</v>
      </c>
      <c r="AT42" s="384"/>
      <c r="AU42" s="384"/>
      <c r="AV42" s="384"/>
      <c r="AW42" s="386">
        <v>35193.019999999997</v>
      </c>
      <c r="AX42" s="384">
        <f>SUM(AY42:BB42)</f>
        <v>0</v>
      </c>
      <c r="AY42" s="384"/>
      <c r="AZ42" s="384"/>
      <c r="BA42" s="384"/>
      <c r="BB42" s="384"/>
      <c r="BC42" s="384">
        <f t="shared" si="12"/>
        <v>0</v>
      </c>
      <c r="BD42" s="384"/>
      <c r="BE42" s="384"/>
      <c r="BF42" s="384"/>
      <c r="BG42" s="384">
        <f t="shared" si="30"/>
        <v>0</v>
      </c>
      <c r="BH42" s="384"/>
      <c r="BI42" s="384"/>
      <c r="BJ42" s="384"/>
      <c r="BK42" s="384"/>
      <c r="BL42" s="384">
        <f>BM42+BN42+BO42+BP42</f>
        <v>0</v>
      </c>
      <c r="BM42" s="384"/>
      <c r="BN42" s="384"/>
      <c r="BO42" s="384"/>
      <c r="BP42" s="384"/>
      <c r="BQ42" s="384">
        <f>SUM(BR42:BU42)</f>
        <v>0</v>
      </c>
      <c r="BR42" s="384"/>
      <c r="BS42" s="384"/>
      <c r="BT42" s="384"/>
      <c r="BU42" s="384"/>
      <c r="BV42" s="384">
        <f t="shared" si="10"/>
        <v>0</v>
      </c>
    </row>
    <row r="43" spans="1:74" ht="37.15" customHeight="1" x14ac:dyDescent="0.25">
      <c r="A43" s="382" t="s">
        <v>31</v>
      </c>
      <c r="B43" s="391" t="s">
        <v>752</v>
      </c>
      <c r="C43" s="374"/>
      <c r="D43" s="391"/>
      <c r="E43" s="384">
        <f>SUM(E44:E70)</f>
        <v>87552509.270000011</v>
      </c>
      <c r="F43" s="384">
        <f t="shared" ref="F43:AR43" si="33">SUM(F44:F70)</f>
        <v>12473759.59</v>
      </c>
      <c r="G43" s="384">
        <f t="shared" si="33"/>
        <v>30155441.359999999</v>
      </c>
      <c r="H43" s="384">
        <f t="shared" si="33"/>
        <v>3617159.05</v>
      </c>
      <c r="I43" s="384">
        <f t="shared" si="33"/>
        <v>41306149.269999996</v>
      </c>
      <c r="J43" s="384">
        <f t="shared" si="33"/>
        <v>178991.49</v>
      </c>
      <c r="K43" s="384">
        <f t="shared" si="33"/>
        <v>0</v>
      </c>
      <c r="L43" s="384">
        <f t="shared" si="33"/>
        <v>0</v>
      </c>
      <c r="M43" s="384">
        <f t="shared" si="33"/>
        <v>0</v>
      </c>
      <c r="N43" s="384">
        <f t="shared" si="33"/>
        <v>178991.49</v>
      </c>
      <c r="O43" s="384">
        <f t="shared" si="33"/>
        <v>16315995.340000004</v>
      </c>
      <c r="P43" s="384">
        <f t="shared" si="33"/>
        <v>3504013</v>
      </c>
      <c r="Q43" s="384">
        <f t="shared" si="33"/>
        <v>8472253.9100000001</v>
      </c>
      <c r="R43" s="384">
        <f t="shared" si="33"/>
        <v>1015994.88</v>
      </c>
      <c r="S43" s="384">
        <f t="shared" si="33"/>
        <v>3323733.55</v>
      </c>
      <c r="T43" s="384">
        <f t="shared" si="33"/>
        <v>50086255.18</v>
      </c>
      <c r="U43" s="384">
        <f t="shared" si="33"/>
        <v>8969746.5899999999</v>
      </c>
      <c r="V43" s="384">
        <f t="shared" si="33"/>
        <v>21683187.449999999</v>
      </c>
      <c r="W43" s="384">
        <f t="shared" si="33"/>
        <v>2601164.17</v>
      </c>
      <c r="X43" s="384">
        <f t="shared" si="33"/>
        <v>16832156.969999999</v>
      </c>
      <c r="Y43" s="384">
        <f t="shared" si="33"/>
        <v>17592082.140000001</v>
      </c>
      <c r="Z43" s="384">
        <f t="shared" si="33"/>
        <v>0</v>
      </c>
      <c r="AA43" s="384">
        <f t="shared" si="33"/>
        <v>0</v>
      </c>
      <c r="AB43" s="384">
        <f t="shared" si="33"/>
        <v>0</v>
      </c>
      <c r="AC43" s="384">
        <f t="shared" si="33"/>
        <v>17592082.140000001</v>
      </c>
      <c r="AD43" s="384">
        <f t="shared" si="33"/>
        <v>70000</v>
      </c>
      <c r="AE43" s="384">
        <f t="shared" si="33"/>
        <v>0</v>
      </c>
      <c r="AF43" s="384">
        <f t="shared" si="33"/>
        <v>0</v>
      </c>
      <c r="AG43" s="384">
        <f t="shared" si="33"/>
        <v>0</v>
      </c>
      <c r="AH43" s="384">
        <f t="shared" si="33"/>
        <v>70000</v>
      </c>
      <c r="AI43" s="384">
        <f t="shared" si="33"/>
        <v>2249042.5</v>
      </c>
      <c r="AJ43" s="384">
        <f t="shared" si="33"/>
        <v>0</v>
      </c>
      <c r="AK43" s="384">
        <f t="shared" si="33"/>
        <v>0</v>
      </c>
      <c r="AL43" s="384">
        <f t="shared" si="33"/>
        <v>0</v>
      </c>
      <c r="AM43" s="384">
        <f t="shared" si="33"/>
        <v>2249042.5</v>
      </c>
      <c r="AN43" s="384">
        <f t="shared" si="33"/>
        <v>1690.14</v>
      </c>
      <c r="AO43" s="384">
        <f t="shared" si="33"/>
        <v>0</v>
      </c>
      <c r="AP43" s="384">
        <f t="shared" si="33"/>
        <v>0</v>
      </c>
      <c r="AQ43" s="384">
        <f t="shared" si="33"/>
        <v>0</v>
      </c>
      <c r="AR43" s="384">
        <f t="shared" si="33"/>
        <v>1690.14</v>
      </c>
      <c r="AS43" s="384">
        <v>988888.09000000008</v>
      </c>
      <c r="AT43" s="384">
        <v>0</v>
      </c>
      <c r="AU43" s="384">
        <v>0</v>
      </c>
      <c r="AV43" s="384">
        <v>0</v>
      </c>
      <c r="AW43" s="384">
        <v>988888.09000000008</v>
      </c>
      <c r="AX43" s="384">
        <f t="shared" ref="AX43:BB43" si="34">SUM(AX44:AX70)</f>
        <v>63900</v>
      </c>
      <c r="AY43" s="384">
        <f t="shared" si="34"/>
        <v>0</v>
      </c>
      <c r="AZ43" s="384">
        <f t="shared" si="34"/>
        <v>0</v>
      </c>
      <c r="BA43" s="384">
        <f t="shared" si="34"/>
        <v>0</v>
      </c>
      <c r="BB43" s="384">
        <f t="shared" si="34"/>
        <v>63900</v>
      </c>
      <c r="BC43" s="384">
        <f>SUM(BC44:BC70)</f>
        <v>5664.3899999982023</v>
      </c>
      <c r="BD43" s="384">
        <f t="shared" ref="BD43:BF43" si="35">SUM(BD44:BD68)</f>
        <v>1331.2</v>
      </c>
      <c r="BE43" s="384">
        <f t="shared" si="35"/>
        <v>1443.3</v>
      </c>
      <c r="BF43" s="384">
        <f t="shared" si="35"/>
        <v>1605.4</v>
      </c>
      <c r="BG43" s="384">
        <f t="shared" ref="BG43:BV43" si="36">SUM(BG44:BG70)</f>
        <v>0</v>
      </c>
      <c r="BH43" s="384">
        <f t="shared" si="36"/>
        <v>0</v>
      </c>
      <c r="BI43" s="384">
        <f t="shared" si="36"/>
        <v>0</v>
      </c>
      <c r="BJ43" s="384">
        <f t="shared" si="36"/>
        <v>0</v>
      </c>
      <c r="BK43" s="384">
        <f t="shared" si="36"/>
        <v>0</v>
      </c>
      <c r="BL43" s="384">
        <f t="shared" si="36"/>
        <v>5664.3900000000067</v>
      </c>
      <c r="BM43" s="384">
        <f t="shared" si="36"/>
        <v>0</v>
      </c>
      <c r="BN43" s="384">
        <f t="shared" si="36"/>
        <v>0</v>
      </c>
      <c r="BO43" s="384">
        <f t="shared" si="36"/>
        <v>0</v>
      </c>
      <c r="BP43" s="384">
        <f t="shared" si="36"/>
        <v>5664.3900000000067</v>
      </c>
      <c r="BQ43" s="384">
        <f t="shared" si="36"/>
        <v>0</v>
      </c>
      <c r="BR43" s="384">
        <f t="shared" si="36"/>
        <v>0</v>
      </c>
      <c r="BS43" s="384">
        <f t="shared" si="36"/>
        <v>0</v>
      </c>
      <c r="BT43" s="384">
        <f t="shared" si="36"/>
        <v>0</v>
      </c>
      <c r="BU43" s="384">
        <f t="shared" si="36"/>
        <v>0</v>
      </c>
      <c r="BV43" s="384">
        <f t="shared" si="36"/>
        <v>5664.3899999982023</v>
      </c>
    </row>
    <row r="44" spans="1:74" ht="207.6" customHeight="1" x14ac:dyDescent="0.25">
      <c r="A44" s="382" t="s">
        <v>52</v>
      </c>
      <c r="B44" s="383" t="s">
        <v>32</v>
      </c>
      <c r="C44" s="374">
        <v>310</v>
      </c>
      <c r="D44" s="387" t="s">
        <v>530</v>
      </c>
      <c r="E44" s="384">
        <f>F44+G44+H44+I44</f>
        <v>80744605.430000007</v>
      </c>
      <c r="F44" s="384">
        <v>12473759.59</v>
      </c>
      <c r="G44" s="384">
        <v>30155441.359999999</v>
      </c>
      <c r="H44" s="384">
        <v>3617159.05</v>
      </c>
      <c r="I44" s="384">
        <v>34498245.43</v>
      </c>
      <c r="J44" s="384">
        <f t="shared" si="13"/>
        <v>0</v>
      </c>
      <c r="K44" s="384"/>
      <c r="L44" s="384"/>
      <c r="M44" s="384"/>
      <c r="N44" s="384"/>
      <c r="O44" s="384">
        <f t="shared" si="14"/>
        <v>12992261.790000001</v>
      </c>
      <c r="P44" s="384">
        <v>3504013</v>
      </c>
      <c r="Q44" s="384">
        <v>8472253.9100000001</v>
      </c>
      <c r="R44" s="384">
        <v>1015994.88</v>
      </c>
      <c r="S44" s="384">
        <v>0</v>
      </c>
      <c r="T44" s="384">
        <f t="shared" ref="T44:T65" si="37">U44+V44+W44+X44</f>
        <v>49968611.100000001</v>
      </c>
      <c r="U44" s="384">
        <v>8969746.5899999999</v>
      </c>
      <c r="V44" s="384">
        <v>21683187.449999999</v>
      </c>
      <c r="W44" s="384">
        <v>2601164.17</v>
      </c>
      <c r="X44" s="384">
        <v>16714512.890000001</v>
      </c>
      <c r="Y44" s="384">
        <f>Z44+AA44+AB44+AC44</f>
        <v>15551890.040000001</v>
      </c>
      <c r="Z44" s="384">
        <v>0</v>
      </c>
      <c r="AA44" s="384">
        <v>0</v>
      </c>
      <c r="AB44" s="384">
        <v>0</v>
      </c>
      <c r="AC44" s="386">
        <f>14207504.13+1344385.91</f>
        <v>15551890.040000001</v>
      </c>
      <c r="AD44" s="384">
        <f t="shared" ref="AD44:AD63" si="38">SUM(AE44:AH44)</f>
        <v>0</v>
      </c>
      <c r="AE44" s="384"/>
      <c r="AF44" s="384"/>
      <c r="AG44" s="384"/>
      <c r="AH44" s="386"/>
      <c r="AI44" s="384">
        <f t="shared" ref="AI44:AI65" si="39">SUM(AJ44:AM44)</f>
        <v>2231842.5</v>
      </c>
      <c r="AJ44" s="384"/>
      <c r="AK44" s="384"/>
      <c r="AL44" s="384"/>
      <c r="AM44" s="386">
        <v>2231842.5</v>
      </c>
      <c r="AN44" s="384">
        <v>0</v>
      </c>
      <c r="AO44" s="384"/>
      <c r="AP44" s="384"/>
      <c r="AQ44" s="384"/>
      <c r="AR44" s="386"/>
      <c r="AS44" s="384">
        <v>0</v>
      </c>
      <c r="AT44" s="384"/>
      <c r="AU44" s="384"/>
      <c r="AV44" s="384"/>
      <c r="AW44" s="386"/>
      <c r="AX44" s="384">
        <f t="shared" ref="AX44:AX65" si="40">SUM(AY44:BB44)</f>
        <v>0</v>
      </c>
      <c r="AY44" s="384"/>
      <c r="AZ44" s="384"/>
      <c r="BA44" s="384"/>
      <c r="BB44" s="386"/>
      <c r="BC44" s="384">
        <f>E44-J44-O44-T44-Y44-AD44-AI44-AN44-AS44-AX44</f>
        <v>-1.862645149230957E-9</v>
      </c>
      <c r="BD44" s="384">
        <v>1331.2</v>
      </c>
      <c r="BE44" s="384">
        <v>1443.3</v>
      </c>
      <c r="BF44" s="384">
        <v>1605.4</v>
      </c>
      <c r="BG44" s="384">
        <f t="shared" ref="BG44:BG63" si="41">SUM(BH44:BK44)</f>
        <v>0</v>
      </c>
      <c r="BH44" s="384"/>
      <c r="BI44" s="384"/>
      <c r="BJ44" s="384"/>
      <c r="BK44" s="386"/>
      <c r="BL44" s="384">
        <f t="shared" si="16"/>
        <v>0</v>
      </c>
      <c r="BM44" s="384"/>
      <c r="BN44" s="384"/>
      <c r="BO44" s="384"/>
      <c r="BP44" s="384"/>
      <c r="BQ44" s="384">
        <f t="shared" ref="BQ44:BQ65" si="42">SUM(BR44:BU44)</f>
        <v>0</v>
      </c>
      <c r="BR44" s="384"/>
      <c r="BS44" s="384"/>
      <c r="BT44" s="384"/>
      <c r="BU44" s="386"/>
      <c r="BV44" s="384">
        <f t="shared" ref="BV44:BV70" si="43">BC44-BQ44</f>
        <v>-1.862645149230957E-9</v>
      </c>
    </row>
    <row r="45" spans="1:74" ht="34.9" customHeight="1" x14ac:dyDescent="0.25">
      <c r="A45" s="382" t="s">
        <v>53</v>
      </c>
      <c r="B45" s="383" t="s">
        <v>10</v>
      </c>
      <c r="C45" s="374">
        <v>226</v>
      </c>
      <c r="D45" s="387" t="s">
        <v>513</v>
      </c>
      <c r="E45" s="384">
        <f t="shared" ref="E45:E63" si="44">F45+G45+H45+I45</f>
        <v>3330</v>
      </c>
      <c r="F45" s="384"/>
      <c r="G45" s="384"/>
      <c r="H45" s="384"/>
      <c r="I45" s="384">
        <v>3330</v>
      </c>
      <c r="J45" s="384">
        <f t="shared" si="13"/>
        <v>3330</v>
      </c>
      <c r="K45" s="384"/>
      <c r="L45" s="384"/>
      <c r="M45" s="384"/>
      <c r="N45" s="384">
        <v>3330</v>
      </c>
      <c r="O45" s="384">
        <f t="shared" si="14"/>
        <v>0</v>
      </c>
      <c r="P45" s="384"/>
      <c r="Q45" s="384"/>
      <c r="R45" s="384"/>
      <c r="S45" s="384"/>
      <c r="T45" s="384">
        <f t="shared" si="37"/>
        <v>0</v>
      </c>
      <c r="U45" s="384"/>
      <c r="V45" s="384"/>
      <c r="W45" s="384"/>
      <c r="X45" s="384"/>
      <c r="Y45" s="384">
        <f t="shared" ref="Y45:Y65" si="45">Z45+AA45+AB45+AC45</f>
        <v>0</v>
      </c>
      <c r="Z45" s="384"/>
      <c r="AA45" s="384"/>
      <c r="AB45" s="384"/>
      <c r="AC45" s="386"/>
      <c r="AD45" s="384">
        <f t="shared" si="38"/>
        <v>0</v>
      </c>
      <c r="AE45" s="384"/>
      <c r="AF45" s="384"/>
      <c r="AG45" s="384"/>
      <c r="AH45" s="386"/>
      <c r="AI45" s="384">
        <f t="shared" si="39"/>
        <v>0</v>
      </c>
      <c r="AJ45" s="384"/>
      <c r="AK45" s="384"/>
      <c r="AL45" s="384"/>
      <c r="AM45" s="386"/>
      <c r="AN45" s="384">
        <v>0</v>
      </c>
      <c r="AO45" s="384"/>
      <c r="AP45" s="384"/>
      <c r="AQ45" s="384"/>
      <c r="AR45" s="386"/>
      <c r="AS45" s="384">
        <v>0</v>
      </c>
      <c r="AT45" s="384"/>
      <c r="AU45" s="384"/>
      <c r="AV45" s="384"/>
      <c r="AW45" s="386"/>
      <c r="AX45" s="384">
        <f t="shared" si="40"/>
        <v>0</v>
      </c>
      <c r="AY45" s="384"/>
      <c r="AZ45" s="384"/>
      <c r="BA45" s="384"/>
      <c r="BB45" s="386"/>
      <c r="BC45" s="384">
        <f t="shared" ref="BC45:BC70" si="46">E45-J45-O45-T45-Y45-AD45-AI45-AN45-AS45-AX45</f>
        <v>0</v>
      </c>
      <c r="BD45" s="384"/>
      <c r="BE45" s="384"/>
      <c r="BF45" s="384"/>
      <c r="BG45" s="384">
        <f t="shared" si="41"/>
        <v>0</v>
      </c>
      <c r="BH45" s="384"/>
      <c r="BI45" s="384"/>
      <c r="BJ45" s="384"/>
      <c r="BK45" s="384"/>
      <c r="BL45" s="384">
        <f t="shared" si="16"/>
        <v>0</v>
      </c>
      <c r="BM45" s="384"/>
      <c r="BN45" s="384"/>
      <c r="BO45" s="384"/>
      <c r="BP45" s="384"/>
      <c r="BQ45" s="384">
        <f t="shared" si="42"/>
        <v>0</v>
      </c>
      <c r="BR45" s="384"/>
      <c r="BS45" s="384"/>
      <c r="BT45" s="384"/>
      <c r="BU45" s="386"/>
      <c r="BV45" s="384">
        <f t="shared" si="43"/>
        <v>0</v>
      </c>
    </row>
    <row r="46" spans="1:74" ht="42.6" customHeight="1" x14ac:dyDescent="0.25">
      <c r="A46" s="382" t="s">
        <v>54</v>
      </c>
      <c r="B46" s="383" t="s">
        <v>1</v>
      </c>
      <c r="C46" s="374">
        <v>226</v>
      </c>
      <c r="D46" s="387" t="s">
        <v>514</v>
      </c>
      <c r="E46" s="384">
        <f t="shared" si="44"/>
        <v>175661.49</v>
      </c>
      <c r="F46" s="384"/>
      <c r="G46" s="384"/>
      <c r="H46" s="384"/>
      <c r="I46" s="384">
        <v>175661.49</v>
      </c>
      <c r="J46" s="384">
        <f t="shared" si="13"/>
        <v>175661.49</v>
      </c>
      <c r="K46" s="384"/>
      <c r="L46" s="384"/>
      <c r="M46" s="384"/>
      <c r="N46" s="384">
        <v>175661.49</v>
      </c>
      <c r="O46" s="384">
        <f t="shared" si="14"/>
        <v>0</v>
      </c>
      <c r="P46" s="384"/>
      <c r="Q46" s="384"/>
      <c r="R46" s="384"/>
      <c r="S46" s="384"/>
      <c r="T46" s="384">
        <f t="shared" si="37"/>
        <v>0</v>
      </c>
      <c r="U46" s="384"/>
      <c r="V46" s="384"/>
      <c r="W46" s="384"/>
      <c r="X46" s="384"/>
      <c r="Y46" s="384">
        <f t="shared" si="45"/>
        <v>0</v>
      </c>
      <c r="Z46" s="384"/>
      <c r="AA46" s="384"/>
      <c r="AB46" s="384"/>
      <c r="AC46" s="386"/>
      <c r="AD46" s="384">
        <f t="shared" si="38"/>
        <v>0</v>
      </c>
      <c r="AE46" s="384"/>
      <c r="AF46" s="384"/>
      <c r="AG46" s="384"/>
      <c r="AH46" s="386"/>
      <c r="AI46" s="384">
        <f t="shared" si="39"/>
        <v>0</v>
      </c>
      <c r="AJ46" s="384"/>
      <c r="AK46" s="384"/>
      <c r="AL46" s="384"/>
      <c r="AM46" s="386"/>
      <c r="AN46" s="384">
        <v>0</v>
      </c>
      <c r="AO46" s="384"/>
      <c r="AP46" s="384"/>
      <c r="AQ46" s="384"/>
      <c r="AR46" s="386"/>
      <c r="AS46" s="384">
        <v>0</v>
      </c>
      <c r="AT46" s="384"/>
      <c r="AU46" s="384"/>
      <c r="AV46" s="384"/>
      <c r="AW46" s="386"/>
      <c r="AX46" s="384">
        <f t="shared" si="40"/>
        <v>0</v>
      </c>
      <c r="AY46" s="384"/>
      <c r="AZ46" s="384"/>
      <c r="BA46" s="384"/>
      <c r="BB46" s="386"/>
      <c r="BC46" s="384">
        <f t="shared" si="46"/>
        <v>0</v>
      </c>
      <c r="BD46" s="384"/>
      <c r="BE46" s="384"/>
      <c r="BF46" s="384"/>
      <c r="BG46" s="384">
        <f t="shared" si="41"/>
        <v>0</v>
      </c>
      <c r="BH46" s="384"/>
      <c r="BI46" s="384"/>
      <c r="BJ46" s="384"/>
      <c r="BK46" s="384"/>
      <c r="BL46" s="384">
        <f t="shared" si="16"/>
        <v>0</v>
      </c>
      <c r="BM46" s="384"/>
      <c r="BN46" s="384"/>
      <c r="BO46" s="384"/>
      <c r="BP46" s="384"/>
      <c r="BQ46" s="384">
        <f t="shared" si="42"/>
        <v>0</v>
      </c>
      <c r="BR46" s="384"/>
      <c r="BS46" s="384"/>
      <c r="BT46" s="384"/>
      <c r="BU46" s="386"/>
      <c r="BV46" s="384">
        <f t="shared" si="43"/>
        <v>0</v>
      </c>
    </row>
    <row r="47" spans="1:74" ht="34.9" customHeight="1" x14ac:dyDescent="0.25">
      <c r="A47" s="382" t="s">
        <v>55</v>
      </c>
      <c r="B47" s="383" t="s">
        <v>1</v>
      </c>
      <c r="C47" s="374">
        <v>226</v>
      </c>
      <c r="D47" s="387" t="s">
        <v>515</v>
      </c>
      <c r="E47" s="384">
        <f t="shared" si="44"/>
        <v>19644.400000000001</v>
      </c>
      <c r="F47" s="384"/>
      <c r="G47" s="384"/>
      <c r="H47" s="384"/>
      <c r="I47" s="384">
        <v>19644.400000000001</v>
      </c>
      <c r="J47" s="384">
        <f t="shared" si="13"/>
        <v>0</v>
      </c>
      <c r="K47" s="384"/>
      <c r="L47" s="384"/>
      <c r="M47" s="384"/>
      <c r="N47" s="384"/>
      <c r="O47" s="384">
        <f t="shared" si="14"/>
        <v>19644.400000000001</v>
      </c>
      <c r="P47" s="384"/>
      <c r="Q47" s="384"/>
      <c r="R47" s="384"/>
      <c r="S47" s="384">
        <v>19644.400000000001</v>
      </c>
      <c r="T47" s="384">
        <f t="shared" si="37"/>
        <v>0</v>
      </c>
      <c r="U47" s="384"/>
      <c r="V47" s="384"/>
      <c r="W47" s="384"/>
      <c r="X47" s="384"/>
      <c r="Y47" s="384">
        <f t="shared" si="45"/>
        <v>0</v>
      </c>
      <c r="Z47" s="384"/>
      <c r="AA47" s="384"/>
      <c r="AB47" s="384"/>
      <c r="AC47" s="386"/>
      <c r="AD47" s="384">
        <f t="shared" si="38"/>
        <v>0</v>
      </c>
      <c r="AE47" s="384"/>
      <c r="AF47" s="384"/>
      <c r="AG47" s="384"/>
      <c r="AH47" s="386"/>
      <c r="AI47" s="384">
        <f t="shared" si="39"/>
        <v>0</v>
      </c>
      <c r="AJ47" s="384"/>
      <c r="AK47" s="384"/>
      <c r="AL47" s="384"/>
      <c r="AM47" s="386"/>
      <c r="AN47" s="384">
        <v>0</v>
      </c>
      <c r="AO47" s="384"/>
      <c r="AP47" s="384"/>
      <c r="AQ47" s="384"/>
      <c r="AR47" s="386"/>
      <c r="AS47" s="384">
        <v>0</v>
      </c>
      <c r="AT47" s="384"/>
      <c r="AU47" s="384"/>
      <c r="AV47" s="384"/>
      <c r="AW47" s="386"/>
      <c r="AX47" s="384">
        <f t="shared" si="40"/>
        <v>0</v>
      </c>
      <c r="AY47" s="384"/>
      <c r="AZ47" s="384"/>
      <c r="BA47" s="384"/>
      <c r="BB47" s="386"/>
      <c r="BC47" s="384">
        <f t="shared" si="46"/>
        <v>0</v>
      </c>
      <c r="BD47" s="384"/>
      <c r="BE47" s="384"/>
      <c r="BF47" s="384"/>
      <c r="BG47" s="384">
        <f t="shared" si="41"/>
        <v>0</v>
      </c>
      <c r="BH47" s="384"/>
      <c r="BI47" s="384"/>
      <c r="BJ47" s="384"/>
      <c r="BK47" s="384"/>
      <c r="BL47" s="384">
        <f t="shared" si="16"/>
        <v>0</v>
      </c>
      <c r="BM47" s="384"/>
      <c r="BN47" s="384"/>
      <c r="BO47" s="384"/>
      <c r="BP47" s="384"/>
      <c r="BQ47" s="384">
        <f t="shared" si="42"/>
        <v>0</v>
      </c>
      <c r="BR47" s="384"/>
      <c r="BS47" s="384"/>
      <c r="BT47" s="384"/>
      <c r="BU47" s="386"/>
      <c r="BV47" s="384">
        <f t="shared" si="43"/>
        <v>0</v>
      </c>
    </row>
    <row r="48" spans="1:74" ht="31.5" x14ac:dyDescent="0.25">
      <c r="A48" s="382" t="s">
        <v>56</v>
      </c>
      <c r="B48" s="383" t="s">
        <v>378</v>
      </c>
      <c r="C48" s="374">
        <v>226</v>
      </c>
      <c r="D48" s="387" t="s">
        <v>493</v>
      </c>
      <c r="E48" s="384">
        <f t="shared" si="44"/>
        <v>19869</v>
      </c>
      <c r="F48" s="384"/>
      <c r="G48" s="384"/>
      <c r="H48" s="384"/>
      <c r="I48" s="384">
        <v>19869</v>
      </c>
      <c r="J48" s="384">
        <f t="shared" si="13"/>
        <v>0</v>
      </c>
      <c r="K48" s="384"/>
      <c r="L48" s="384"/>
      <c r="M48" s="384"/>
      <c r="N48" s="384"/>
      <c r="O48" s="384">
        <f t="shared" si="14"/>
        <v>0</v>
      </c>
      <c r="P48" s="384"/>
      <c r="Q48" s="384"/>
      <c r="R48" s="384"/>
      <c r="S48" s="384"/>
      <c r="T48" s="384">
        <f t="shared" si="37"/>
        <v>0</v>
      </c>
      <c r="U48" s="384"/>
      <c r="V48" s="384"/>
      <c r="W48" s="384"/>
      <c r="X48" s="384"/>
      <c r="Y48" s="384">
        <f t="shared" si="45"/>
        <v>19869</v>
      </c>
      <c r="Z48" s="384"/>
      <c r="AA48" s="384"/>
      <c r="AB48" s="384"/>
      <c r="AC48" s="386">
        <v>19869</v>
      </c>
      <c r="AD48" s="384">
        <f t="shared" si="38"/>
        <v>0</v>
      </c>
      <c r="AE48" s="384"/>
      <c r="AF48" s="384"/>
      <c r="AG48" s="384"/>
      <c r="AH48" s="386"/>
      <c r="AI48" s="384">
        <f t="shared" si="39"/>
        <v>0</v>
      </c>
      <c r="AJ48" s="384"/>
      <c r="AK48" s="384"/>
      <c r="AL48" s="384"/>
      <c r="AM48" s="386"/>
      <c r="AN48" s="384">
        <v>0</v>
      </c>
      <c r="AO48" s="384"/>
      <c r="AP48" s="384"/>
      <c r="AQ48" s="384"/>
      <c r="AR48" s="386"/>
      <c r="AS48" s="384">
        <v>0</v>
      </c>
      <c r="AT48" s="384"/>
      <c r="AU48" s="384"/>
      <c r="AV48" s="384"/>
      <c r="AW48" s="386"/>
      <c r="AX48" s="384">
        <f t="shared" si="40"/>
        <v>0</v>
      </c>
      <c r="AY48" s="384"/>
      <c r="AZ48" s="384"/>
      <c r="BA48" s="384"/>
      <c r="BB48" s="386"/>
      <c r="BC48" s="384">
        <f t="shared" si="46"/>
        <v>0</v>
      </c>
      <c r="BD48" s="384"/>
      <c r="BE48" s="384"/>
      <c r="BF48" s="384"/>
      <c r="BG48" s="384">
        <f t="shared" si="41"/>
        <v>0</v>
      </c>
      <c r="BH48" s="384"/>
      <c r="BI48" s="384"/>
      <c r="BJ48" s="384"/>
      <c r="BK48" s="384"/>
      <c r="BL48" s="384">
        <f t="shared" si="16"/>
        <v>0</v>
      </c>
      <c r="BM48" s="384"/>
      <c r="BN48" s="384"/>
      <c r="BO48" s="384"/>
      <c r="BP48" s="384"/>
      <c r="BQ48" s="384">
        <f t="shared" si="42"/>
        <v>0</v>
      </c>
      <c r="BR48" s="384"/>
      <c r="BS48" s="384"/>
      <c r="BT48" s="384"/>
      <c r="BU48" s="386"/>
      <c r="BV48" s="384">
        <f t="shared" si="43"/>
        <v>0</v>
      </c>
    </row>
    <row r="49" spans="1:74" ht="38.450000000000003" customHeight="1" x14ac:dyDescent="0.25">
      <c r="A49" s="382" t="s">
        <v>57</v>
      </c>
      <c r="B49" s="383" t="s">
        <v>367</v>
      </c>
      <c r="C49" s="374">
        <v>226</v>
      </c>
      <c r="D49" s="387" t="s">
        <v>516</v>
      </c>
      <c r="E49" s="384">
        <f t="shared" si="44"/>
        <v>36876</v>
      </c>
      <c r="F49" s="384"/>
      <c r="G49" s="384"/>
      <c r="H49" s="384"/>
      <c r="I49" s="384">
        <v>36876</v>
      </c>
      <c r="J49" s="384">
        <f t="shared" si="13"/>
        <v>0</v>
      </c>
      <c r="K49" s="384"/>
      <c r="L49" s="384"/>
      <c r="M49" s="384"/>
      <c r="N49" s="384"/>
      <c r="O49" s="384">
        <f t="shared" si="14"/>
        <v>0</v>
      </c>
      <c r="P49" s="384"/>
      <c r="Q49" s="384"/>
      <c r="R49" s="384"/>
      <c r="S49" s="384"/>
      <c r="T49" s="384">
        <f t="shared" si="37"/>
        <v>0</v>
      </c>
      <c r="U49" s="384"/>
      <c r="V49" s="384"/>
      <c r="W49" s="384"/>
      <c r="X49" s="384"/>
      <c r="Y49" s="384">
        <f t="shared" si="45"/>
        <v>36876</v>
      </c>
      <c r="Z49" s="384"/>
      <c r="AA49" s="384"/>
      <c r="AB49" s="384"/>
      <c r="AC49" s="386">
        <v>36876</v>
      </c>
      <c r="AD49" s="384">
        <f t="shared" si="38"/>
        <v>0</v>
      </c>
      <c r="AE49" s="384"/>
      <c r="AF49" s="384"/>
      <c r="AG49" s="384"/>
      <c r="AH49" s="386"/>
      <c r="AI49" s="384">
        <f t="shared" si="39"/>
        <v>0</v>
      </c>
      <c r="AJ49" s="384"/>
      <c r="AK49" s="384"/>
      <c r="AL49" s="384"/>
      <c r="AM49" s="386"/>
      <c r="AN49" s="384">
        <v>0</v>
      </c>
      <c r="AO49" s="384"/>
      <c r="AP49" s="384"/>
      <c r="AQ49" s="384"/>
      <c r="AR49" s="386"/>
      <c r="AS49" s="384">
        <v>0</v>
      </c>
      <c r="AT49" s="384"/>
      <c r="AU49" s="384"/>
      <c r="AV49" s="384"/>
      <c r="AW49" s="386"/>
      <c r="AX49" s="384">
        <f t="shared" si="40"/>
        <v>0</v>
      </c>
      <c r="AY49" s="384"/>
      <c r="AZ49" s="384"/>
      <c r="BA49" s="384"/>
      <c r="BB49" s="386"/>
      <c r="BC49" s="384">
        <f t="shared" si="46"/>
        <v>0</v>
      </c>
      <c r="BD49" s="384"/>
      <c r="BE49" s="384"/>
      <c r="BF49" s="384"/>
      <c r="BG49" s="384">
        <f t="shared" si="41"/>
        <v>0</v>
      </c>
      <c r="BH49" s="384"/>
      <c r="BI49" s="384"/>
      <c r="BJ49" s="384"/>
      <c r="BK49" s="384"/>
      <c r="BL49" s="384">
        <f t="shared" si="16"/>
        <v>0</v>
      </c>
      <c r="BM49" s="384"/>
      <c r="BN49" s="384"/>
      <c r="BO49" s="384"/>
      <c r="BP49" s="384"/>
      <c r="BQ49" s="384">
        <f t="shared" si="42"/>
        <v>0</v>
      </c>
      <c r="BR49" s="384"/>
      <c r="BS49" s="384"/>
      <c r="BT49" s="384"/>
      <c r="BU49" s="386"/>
      <c r="BV49" s="384">
        <f t="shared" si="43"/>
        <v>0</v>
      </c>
    </row>
    <row r="50" spans="1:74" ht="38.450000000000003" customHeight="1" x14ac:dyDescent="0.25">
      <c r="A50" s="382" t="s">
        <v>58</v>
      </c>
      <c r="B50" s="383" t="s">
        <v>369</v>
      </c>
      <c r="C50" s="374">
        <v>226</v>
      </c>
      <c r="D50" s="387" t="s">
        <v>517</v>
      </c>
      <c r="E50" s="384">
        <f t="shared" si="44"/>
        <v>9833</v>
      </c>
      <c r="F50" s="384"/>
      <c r="G50" s="384"/>
      <c r="H50" s="384"/>
      <c r="I50" s="384">
        <v>9833</v>
      </c>
      <c r="J50" s="384">
        <f t="shared" si="13"/>
        <v>0</v>
      </c>
      <c r="K50" s="384"/>
      <c r="L50" s="384"/>
      <c r="M50" s="384"/>
      <c r="N50" s="384"/>
      <c r="O50" s="384">
        <f t="shared" si="14"/>
        <v>0</v>
      </c>
      <c r="P50" s="384"/>
      <c r="Q50" s="384"/>
      <c r="R50" s="384"/>
      <c r="S50" s="384"/>
      <c r="T50" s="384">
        <f t="shared" si="37"/>
        <v>0</v>
      </c>
      <c r="U50" s="384"/>
      <c r="V50" s="384"/>
      <c r="W50" s="384"/>
      <c r="X50" s="384"/>
      <c r="Y50" s="384">
        <f t="shared" si="45"/>
        <v>9833</v>
      </c>
      <c r="Z50" s="384"/>
      <c r="AA50" s="384"/>
      <c r="AB50" s="384"/>
      <c r="AC50" s="386">
        <v>9833</v>
      </c>
      <c r="AD50" s="384">
        <f t="shared" si="38"/>
        <v>0</v>
      </c>
      <c r="AE50" s="384"/>
      <c r="AF50" s="384"/>
      <c r="AG50" s="384"/>
      <c r="AH50" s="386"/>
      <c r="AI50" s="384">
        <f t="shared" si="39"/>
        <v>0</v>
      </c>
      <c r="AJ50" s="384"/>
      <c r="AK50" s="384"/>
      <c r="AL50" s="384"/>
      <c r="AM50" s="386"/>
      <c r="AN50" s="384">
        <v>0</v>
      </c>
      <c r="AO50" s="384"/>
      <c r="AP50" s="384"/>
      <c r="AQ50" s="384"/>
      <c r="AR50" s="386"/>
      <c r="AS50" s="384">
        <v>0</v>
      </c>
      <c r="AT50" s="384"/>
      <c r="AU50" s="384"/>
      <c r="AV50" s="384"/>
      <c r="AW50" s="386"/>
      <c r="AX50" s="384">
        <f t="shared" si="40"/>
        <v>0</v>
      </c>
      <c r="AY50" s="384"/>
      <c r="AZ50" s="384"/>
      <c r="BA50" s="384"/>
      <c r="BB50" s="386"/>
      <c r="BC50" s="384">
        <f t="shared" si="46"/>
        <v>0</v>
      </c>
      <c r="BD50" s="384"/>
      <c r="BE50" s="384"/>
      <c r="BF50" s="384"/>
      <c r="BG50" s="384">
        <f t="shared" si="41"/>
        <v>0</v>
      </c>
      <c r="BH50" s="384"/>
      <c r="BI50" s="384"/>
      <c r="BJ50" s="384"/>
      <c r="BK50" s="384"/>
      <c r="BL50" s="384">
        <f t="shared" si="16"/>
        <v>0</v>
      </c>
      <c r="BM50" s="384"/>
      <c r="BN50" s="384"/>
      <c r="BO50" s="384"/>
      <c r="BP50" s="384"/>
      <c r="BQ50" s="384">
        <f t="shared" si="42"/>
        <v>0</v>
      </c>
      <c r="BR50" s="384"/>
      <c r="BS50" s="384"/>
      <c r="BT50" s="384"/>
      <c r="BU50" s="386"/>
      <c r="BV50" s="384">
        <f t="shared" si="43"/>
        <v>0</v>
      </c>
    </row>
    <row r="51" spans="1:74" ht="38.450000000000003" customHeight="1" x14ac:dyDescent="0.25">
      <c r="A51" s="382" t="s">
        <v>59</v>
      </c>
      <c r="B51" s="383" t="s">
        <v>371</v>
      </c>
      <c r="C51" s="374">
        <v>226</v>
      </c>
      <c r="D51" s="387" t="s">
        <v>518</v>
      </c>
      <c r="E51" s="384">
        <f t="shared" si="44"/>
        <v>21475</v>
      </c>
      <c r="F51" s="384"/>
      <c r="G51" s="384"/>
      <c r="H51" s="384"/>
      <c r="I51" s="384">
        <v>21475</v>
      </c>
      <c r="J51" s="384">
        <f t="shared" si="13"/>
        <v>0</v>
      </c>
      <c r="K51" s="384"/>
      <c r="L51" s="384"/>
      <c r="M51" s="384"/>
      <c r="N51" s="384"/>
      <c r="O51" s="384">
        <f t="shared" si="14"/>
        <v>0</v>
      </c>
      <c r="P51" s="384"/>
      <c r="Q51" s="384"/>
      <c r="R51" s="384"/>
      <c r="S51" s="384"/>
      <c r="T51" s="384">
        <f t="shared" si="37"/>
        <v>0</v>
      </c>
      <c r="U51" s="384"/>
      <c r="V51" s="384"/>
      <c r="W51" s="384"/>
      <c r="X51" s="384"/>
      <c r="Y51" s="384">
        <f t="shared" si="45"/>
        <v>21475</v>
      </c>
      <c r="Z51" s="384"/>
      <c r="AA51" s="384"/>
      <c r="AB51" s="384"/>
      <c r="AC51" s="386">
        <v>21475</v>
      </c>
      <c r="AD51" s="384">
        <f t="shared" si="38"/>
        <v>0</v>
      </c>
      <c r="AE51" s="384"/>
      <c r="AF51" s="384"/>
      <c r="AG51" s="384"/>
      <c r="AH51" s="386"/>
      <c r="AI51" s="384">
        <f t="shared" si="39"/>
        <v>0</v>
      </c>
      <c r="AJ51" s="384"/>
      <c r="AK51" s="384"/>
      <c r="AL51" s="384"/>
      <c r="AM51" s="386"/>
      <c r="AN51" s="384">
        <v>0</v>
      </c>
      <c r="AO51" s="384"/>
      <c r="AP51" s="384"/>
      <c r="AQ51" s="384"/>
      <c r="AR51" s="386"/>
      <c r="AS51" s="384">
        <v>0</v>
      </c>
      <c r="AT51" s="384"/>
      <c r="AU51" s="384"/>
      <c r="AV51" s="384"/>
      <c r="AW51" s="386"/>
      <c r="AX51" s="384">
        <f t="shared" si="40"/>
        <v>0</v>
      </c>
      <c r="AY51" s="384"/>
      <c r="AZ51" s="384"/>
      <c r="BA51" s="384"/>
      <c r="BB51" s="386"/>
      <c r="BC51" s="384">
        <f t="shared" si="46"/>
        <v>0</v>
      </c>
      <c r="BD51" s="384"/>
      <c r="BE51" s="384"/>
      <c r="BF51" s="384"/>
      <c r="BG51" s="384">
        <f t="shared" si="41"/>
        <v>0</v>
      </c>
      <c r="BH51" s="384"/>
      <c r="BI51" s="384"/>
      <c r="BJ51" s="384"/>
      <c r="BK51" s="384"/>
      <c r="BL51" s="384">
        <f t="shared" si="16"/>
        <v>0</v>
      </c>
      <c r="BM51" s="384"/>
      <c r="BN51" s="384"/>
      <c r="BO51" s="384"/>
      <c r="BP51" s="384"/>
      <c r="BQ51" s="384">
        <f t="shared" si="42"/>
        <v>0</v>
      </c>
      <c r="BR51" s="384"/>
      <c r="BS51" s="384"/>
      <c r="BT51" s="384"/>
      <c r="BU51" s="386"/>
      <c r="BV51" s="384">
        <f t="shared" si="43"/>
        <v>0</v>
      </c>
    </row>
    <row r="52" spans="1:74" ht="38.450000000000003" customHeight="1" x14ac:dyDescent="0.25">
      <c r="A52" s="382" t="s">
        <v>60</v>
      </c>
      <c r="B52" s="383" t="s">
        <v>373</v>
      </c>
      <c r="C52" s="374">
        <v>226</v>
      </c>
      <c r="D52" s="387" t="s">
        <v>519</v>
      </c>
      <c r="E52" s="384">
        <f t="shared" si="44"/>
        <v>35865</v>
      </c>
      <c r="F52" s="384"/>
      <c r="G52" s="384"/>
      <c r="H52" s="384"/>
      <c r="I52" s="384">
        <v>35865</v>
      </c>
      <c r="J52" s="384">
        <f t="shared" si="13"/>
        <v>0</v>
      </c>
      <c r="K52" s="384"/>
      <c r="L52" s="384"/>
      <c r="M52" s="384"/>
      <c r="N52" s="384"/>
      <c r="O52" s="384">
        <f t="shared" si="14"/>
        <v>0</v>
      </c>
      <c r="P52" s="384"/>
      <c r="Q52" s="384"/>
      <c r="R52" s="384"/>
      <c r="S52" s="384"/>
      <c r="T52" s="384">
        <f t="shared" si="37"/>
        <v>0</v>
      </c>
      <c r="U52" s="384"/>
      <c r="V52" s="384"/>
      <c r="W52" s="384"/>
      <c r="X52" s="384"/>
      <c r="Y52" s="384">
        <f t="shared" si="45"/>
        <v>35865</v>
      </c>
      <c r="Z52" s="384"/>
      <c r="AA52" s="384"/>
      <c r="AB52" s="384"/>
      <c r="AC52" s="386">
        <v>35865</v>
      </c>
      <c r="AD52" s="384">
        <f t="shared" si="38"/>
        <v>0</v>
      </c>
      <c r="AE52" s="384"/>
      <c r="AF52" s="384"/>
      <c r="AG52" s="384"/>
      <c r="AH52" s="386"/>
      <c r="AI52" s="384">
        <f t="shared" si="39"/>
        <v>0</v>
      </c>
      <c r="AJ52" s="384"/>
      <c r="AK52" s="384"/>
      <c r="AL52" s="384"/>
      <c r="AM52" s="386"/>
      <c r="AN52" s="384">
        <v>0</v>
      </c>
      <c r="AO52" s="384"/>
      <c r="AP52" s="384"/>
      <c r="AQ52" s="384"/>
      <c r="AR52" s="386"/>
      <c r="AS52" s="384">
        <v>0</v>
      </c>
      <c r="AT52" s="384"/>
      <c r="AU52" s="384"/>
      <c r="AV52" s="384"/>
      <c r="AW52" s="386"/>
      <c r="AX52" s="384">
        <f t="shared" si="40"/>
        <v>0</v>
      </c>
      <c r="AY52" s="384"/>
      <c r="AZ52" s="384"/>
      <c r="BA52" s="384"/>
      <c r="BB52" s="386"/>
      <c r="BC52" s="384">
        <f t="shared" si="46"/>
        <v>0</v>
      </c>
      <c r="BD52" s="384"/>
      <c r="BE52" s="384"/>
      <c r="BF52" s="384"/>
      <c r="BG52" s="384">
        <f t="shared" si="41"/>
        <v>0</v>
      </c>
      <c r="BH52" s="384"/>
      <c r="BI52" s="384"/>
      <c r="BJ52" s="384"/>
      <c r="BK52" s="384"/>
      <c r="BL52" s="384">
        <f t="shared" si="16"/>
        <v>0</v>
      </c>
      <c r="BM52" s="384"/>
      <c r="BN52" s="384"/>
      <c r="BO52" s="384"/>
      <c r="BP52" s="384"/>
      <c r="BQ52" s="384">
        <f t="shared" si="42"/>
        <v>0</v>
      </c>
      <c r="BR52" s="384"/>
      <c r="BS52" s="384"/>
      <c r="BT52" s="384"/>
      <c r="BU52" s="386"/>
      <c r="BV52" s="384">
        <f t="shared" si="43"/>
        <v>0</v>
      </c>
    </row>
    <row r="53" spans="1:74" ht="38.450000000000003" customHeight="1" x14ac:dyDescent="0.25">
      <c r="A53" s="382" t="s">
        <v>61</v>
      </c>
      <c r="B53" s="383" t="s">
        <v>375</v>
      </c>
      <c r="C53" s="374">
        <v>226</v>
      </c>
      <c r="D53" s="387" t="s">
        <v>520</v>
      </c>
      <c r="E53" s="384">
        <f t="shared" si="44"/>
        <v>29875</v>
      </c>
      <c r="F53" s="384"/>
      <c r="G53" s="384"/>
      <c r="H53" s="384"/>
      <c r="I53" s="384">
        <v>29875</v>
      </c>
      <c r="J53" s="384">
        <f t="shared" si="13"/>
        <v>0</v>
      </c>
      <c r="K53" s="384"/>
      <c r="L53" s="384"/>
      <c r="M53" s="384"/>
      <c r="N53" s="384"/>
      <c r="O53" s="384">
        <f t="shared" si="14"/>
        <v>0</v>
      </c>
      <c r="P53" s="384"/>
      <c r="Q53" s="384"/>
      <c r="R53" s="384"/>
      <c r="S53" s="384"/>
      <c r="T53" s="384">
        <f t="shared" si="37"/>
        <v>0</v>
      </c>
      <c r="U53" s="384"/>
      <c r="V53" s="384"/>
      <c r="W53" s="384"/>
      <c r="X53" s="384"/>
      <c r="Y53" s="384">
        <f t="shared" si="45"/>
        <v>29875</v>
      </c>
      <c r="Z53" s="384"/>
      <c r="AA53" s="384"/>
      <c r="AB53" s="384"/>
      <c r="AC53" s="386">
        <v>29875</v>
      </c>
      <c r="AD53" s="384">
        <f t="shared" si="38"/>
        <v>0</v>
      </c>
      <c r="AE53" s="384"/>
      <c r="AF53" s="384"/>
      <c r="AG53" s="384"/>
      <c r="AH53" s="386"/>
      <c r="AI53" s="384">
        <f t="shared" si="39"/>
        <v>0</v>
      </c>
      <c r="AJ53" s="384"/>
      <c r="AK53" s="384"/>
      <c r="AL53" s="384"/>
      <c r="AM53" s="386"/>
      <c r="AN53" s="384">
        <v>0</v>
      </c>
      <c r="AO53" s="384"/>
      <c r="AP53" s="384"/>
      <c r="AQ53" s="384"/>
      <c r="AR53" s="386"/>
      <c r="AS53" s="384">
        <v>0</v>
      </c>
      <c r="AT53" s="384"/>
      <c r="AU53" s="384"/>
      <c r="AV53" s="384"/>
      <c r="AW53" s="386"/>
      <c r="AX53" s="384">
        <f t="shared" si="40"/>
        <v>0</v>
      </c>
      <c r="AY53" s="384"/>
      <c r="AZ53" s="384"/>
      <c r="BA53" s="384"/>
      <c r="BB53" s="386"/>
      <c r="BC53" s="384">
        <f t="shared" si="46"/>
        <v>0</v>
      </c>
      <c r="BD53" s="384"/>
      <c r="BE53" s="384"/>
      <c r="BF53" s="384"/>
      <c r="BG53" s="384">
        <f t="shared" si="41"/>
        <v>0</v>
      </c>
      <c r="BH53" s="384"/>
      <c r="BI53" s="384"/>
      <c r="BJ53" s="384"/>
      <c r="BK53" s="384"/>
      <c r="BL53" s="384">
        <f t="shared" si="16"/>
        <v>0</v>
      </c>
      <c r="BM53" s="384"/>
      <c r="BN53" s="384"/>
      <c r="BO53" s="384"/>
      <c r="BP53" s="384"/>
      <c r="BQ53" s="384">
        <f t="shared" si="42"/>
        <v>0</v>
      </c>
      <c r="BR53" s="384"/>
      <c r="BS53" s="384"/>
      <c r="BT53" s="384"/>
      <c r="BU53" s="386"/>
      <c r="BV53" s="384">
        <f t="shared" si="43"/>
        <v>0</v>
      </c>
    </row>
    <row r="54" spans="1:74" ht="38.450000000000003" customHeight="1" x14ac:dyDescent="0.25">
      <c r="A54" s="382" t="s">
        <v>120</v>
      </c>
      <c r="B54" s="383" t="s">
        <v>386</v>
      </c>
      <c r="C54" s="374">
        <v>226</v>
      </c>
      <c r="D54" s="387" t="s">
        <v>521</v>
      </c>
      <c r="E54" s="384">
        <f t="shared" si="44"/>
        <v>34863</v>
      </c>
      <c r="F54" s="384"/>
      <c r="G54" s="384"/>
      <c r="H54" s="384"/>
      <c r="I54" s="384">
        <v>34863</v>
      </c>
      <c r="J54" s="384">
        <f t="shared" si="13"/>
        <v>0</v>
      </c>
      <c r="K54" s="384"/>
      <c r="L54" s="384"/>
      <c r="M54" s="384"/>
      <c r="N54" s="384"/>
      <c r="O54" s="384">
        <f t="shared" si="14"/>
        <v>0</v>
      </c>
      <c r="P54" s="384"/>
      <c r="Q54" s="384"/>
      <c r="R54" s="384"/>
      <c r="S54" s="384"/>
      <c r="T54" s="384">
        <f t="shared" si="37"/>
        <v>0</v>
      </c>
      <c r="U54" s="384"/>
      <c r="V54" s="384"/>
      <c r="W54" s="384"/>
      <c r="X54" s="384"/>
      <c r="Y54" s="384">
        <f t="shared" si="45"/>
        <v>34863</v>
      </c>
      <c r="Z54" s="384"/>
      <c r="AA54" s="384"/>
      <c r="AB54" s="384"/>
      <c r="AC54" s="386">
        <v>34863</v>
      </c>
      <c r="AD54" s="384">
        <f t="shared" si="38"/>
        <v>0</v>
      </c>
      <c r="AE54" s="384"/>
      <c r="AF54" s="384"/>
      <c r="AG54" s="384"/>
      <c r="AH54" s="386"/>
      <c r="AI54" s="384">
        <f t="shared" si="39"/>
        <v>0</v>
      </c>
      <c r="AJ54" s="384"/>
      <c r="AK54" s="384"/>
      <c r="AL54" s="384"/>
      <c r="AM54" s="386"/>
      <c r="AN54" s="384">
        <v>0</v>
      </c>
      <c r="AO54" s="384"/>
      <c r="AP54" s="384"/>
      <c r="AQ54" s="384"/>
      <c r="AR54" s="386"/>
      <c r="AS54" s="384">
        <v>0</v>
      </c>
      <c r="AT54" s="384"/>
      <c r="AU54" s="384"/>
      <c r="AV54" s="384"/>
      <c r="AW54" s="386"/>
      <c r="AX54" s="384">
        <f t="shared" si="40"/>
        <v>0</v>
      </c>
      <c r="AY54" s="384"/>
      <c r="AZ54" s="384"/>
      <c r="BA54" s="384"/>
      <c r="BB54" s="386"/>
      <c r="BC54" s="384">
        <f t="shared" si="46"/>
        <v>0</v>
      </c>
      <c r="BD54" s="384"/>
      <c r="BE54" s="384"/>
      <c r="BF54" s="384"/>
      <c r="BG54" s="384">
        <f t="shared" si="41"/>
        <v>0</v>
      </c>
      <c r="BH54" s="384"/>
      <c r="BI54" s="384"/>
      <c r="BJ54" s="384"/>
      <c r="BK54" s="384"/>
      <c r="BL54" s="384">
        <f t="shared" si="16"/>
        <v>0</v>
      </c>
      <c r="BM54" s="384"/>
      <c r="BN54" s="384"/>
      <c r="BO54" s="384"/>
      <c r="BP54" s="384"/>
      <c r="BQ54" s="384">
        <f t="shared" si="42"/>
        <v>0</v>
      </c>
      <c r="BR54" s="384"/>
      <c r="BS54" s="384"/>
      <c r="BT54" s="384"/>
      <c r="BU54" s="386"/>
      <c r="BV54" s="384">
        <f t="shared" si="43"/>
        <v>0</v>
      </c>
    </row>
    <row r="55" spans="1:74" ht="44.45" customHeight="1" x14ac:dyDescent="0.25">
      <c r="A55" s="382" t="s">
        <v>121</v>
      </c>
      <c r="B55" s="383" t="s">
        <v>11</v>
      </c>
      <c r="C55" s="374">
        <v>226</v>
      </c>
      <c r="D55" s="387" t="s">
        <v>522</v>
      </c>
      <c r="E55" s="384">
        <f t="shared" si="44"/>
        <v>933921.26</v>
      </c>
      <c r="F55" s="384"/>
      <c r="G55" s="384"/>
      <c r="H55" s="384"/>
      <c r="I55" s="384">
        <v>933921.26</v>
      </c>
      <c r="J55" s="384">
        <f t="shared" si="13"/>
        <v>0</v>
      </c>
      <c r="K55" s="384"/>
      <c r="L55" s="384"/>
      <c r="M55" s="384"/>
      <c r="N55" s="384"/>
      <c r="O55" s="384">
        <f t="shared" si="14"/>
        <v>933921.26</v>
      </c>
      <c r="P55" s="384"/>
      <c r="Q55" s="384"/>
      <c r="R55" s="384"/>
      <c r="S55" s="384">
        <v>933921.26</v>
      </c>
      <c r="T55" s="384">
        <f t="shared" si="37"/>
        <v>0</v>
      </c>
      <c r="U55" s="384"/>
      <c r="V55" s="384"/>
      <c r="W55" s="384"/>
      <c r="X55" s="384"/>
      <c r="Y55" s="384">
        <f t="shared" si="45"/>
        <v>0</v>
      </c>
      <c r="Z55" s="384"/>
      <c r="AA55" s="384"/>
      <c r="AB55" s="384"/>
      <c r="AC55" s="386"/>
      <c r="AD55" s="384">
        <f t="shared" si="38"/>
        <v>0</v>
      </c>
      <c r="AE55" s="384"/>
      <c r="AF55" s="384"/>
      <c r="AG55" s="384"/>
      <c r="AH55" s="386"/>
      <c r="AI55" s="384">
        <f t="shared" si="39"/>
        <v>0</v>
      </c>
      <c r="AJ55" s="384"/>
      <c r="AK55" s="384"/>
      <c r="AL55" s="384"/>
      <c r="AM55" s="386"/>
      <c r="AN55" s="384">
        <v>0</v>
      </c>
      <c r="AO55" s="384"/>
      <c r="AP55" s="384"/>
      <c r="AQ55" s="384"/>
      <c r="AR55" s="386"/>
      <c r="AS55" s="384">
        <v>0</v>
      </c>
      <c r="AT55" s="384"/>
      <c r="AU55" s="384"/>
      <c r="AV55" s="384"/>
      <c r="AW55" s="386"/>
      <c r="AX55" s="384">
        <f t="shared" si="40"/>
        <v>0</v>
      </c>
      <c r="AY55" s="384"/>
      <c r="AZ55" s="384"/>
      <c r="BA55" s="384"/>
      <c r="BB55" s="386"/>
      <c r="BC55" s="384">
        <f t="shared" si="46"/>
        <v>0</v>
      </c>
      <c r="BD55" s="384"/>
      <c r="BE55" s="384"/>
      <c r="BF55" s="384"/>
      <c r="BG55" s="384">
        <f t="shared" si="41"/>
        <v>0</v>
      </c>
      <c r="BH55" s="384"/>
      <c r="BI55" s="384"/>
      <c r="BJ55" s="384"/>
      <c r="BK55" s="384"/>
      <c r="BL55" s="384">
        <f t="shared" si="16"/>
        <v>0</v>
      </c>
      <c r="BM55" s="384"/>
      <c r="BN55" s="384"/>
      <c r="BO55" s="384"/>
      <c r="BP55" s="384"/>
      <c r="BQ55" s="384">
        <f t="shared" si="42"/>
        <v>0</v>
      </c>
      <c r="BR55" s="384"/>
      <c r="BS55" s="384"/>
      <c r="BT55" s="384"/>
      <c r="BU55" s="386"/>
      <c r="BV55" s="384">
        <f t="shared" si="43"/>
        <v>0</v>
      </c>
    </row>
    <row r="56" spans="1:74" ht="42.6" customHeight="1" x14ac:dyDescent="0.25">
      <c r="A56" s="382" t="s">
        <v>122</v>
      </c>
      <c r="B56" s="383" t="s">
        <v>20</v>
      </c>
      <c r="C56" s="374">
        <v>226</v>
      </c>
      <c r="D56" s="387" t="s">
        <v>523</v>
      </c>
      <c r="E56" s="384">
        <f t="shared" si="44"/>
        <v>138736.87</v>
      </c>
      <c r="F56" s="384"/>
      <c r="G56" s="384"/>
      <c r="H56" s="384"/>
      <c r="I56" s="384">
        <v>138736.87</v>
      </c>
      <c r="J56" s="384">
        <f t="shared" si="13"/>
        <v>0</v>
      </c>
      <c r="K56" s="384"/>
      <c r="L56" s="384"/>
      <c r="M56" s="384"/>
      <c r="N56" s="384"/>
      <c r="O56" s="384">
        <f t="shared" si="14"/>
        <v>16205.46</v>
      </c>
      <c r="P56" s="384"/>
      <c r="Q56" s="384"/>
      <c r="R56" s="384"/>
      <c r="S56" s="384">
        <v>16205.46</v>
      </c>
      <c r="T56" s="384">
        <f t="shared" si="37"/>
        <v>58384.17</v>
      </c>
      <c r="U56" s="384"/>
      <c r="V56" s="384"/>
      <c r="W56" s="384"/>
      <c r="X56" s="384">
        <v>58384.17</v>
      </c>
      <c r="Y56" s="384">
        <f t="shared" si="45"/>
        <v>58482.85</v>
      </c>
      <c r="Z56" s="384"/>
      <c r="AA56" s="384"/>
      <c r="AC56" s="386">
        <f>45193.06+4873.6+2979.02+3158.55+2278.62</f>
        <v>58482.85</v>
      </c>
      <c r="AD56" s="384">
        <f t="shared" si="38"/>
        <v>0</v>
      </c>
      <c r="AE56" s="384"/>
      <c r="AF56" s="384"/>
      <c r="AH56" s="386"/>
      <c r="AI56" s="384">
        <f t="shared" si="39"/>
        <v>0</v>
      </c>
      <c r="AJ56" s="384"/>
      <c r="AK56" s="384"/>
      <c r="AM56" s="386"/>
      <c r="AN56" s="384">
        <v>0</v>
      </c>
      <c r="AO56" s="384"/>
      <c r="AP56" s="384"/>
      <c r="AR56" s="386"/>
      <c r="AS56" s="384">
        <v>0</v>
      </c>
      <c r="AT56" s="384"/>
      <c r="AU56" s="384"/>
      <c r="AW56" s="386"/>
      <c r="AX56" s="384">
        <f t="shared" si="40"/>
        <v>0</v>
      </c>
      <c r="AY56" s="384"/>
      <c r="AZ56" s="384"/>
      <c r="BB56" s="386"/>
      <c r="BC56" s="384">
        <f t="shared" si="46"/>
        <v>5664.3900000000067</v>
      </c>
      <c r="BD56" s="384"/>
      <c r="BE56" s="384"/>
      <c r="BF56" s="384"/>
      <c r="BG56" s="384">
        <f t="shared" si="41"/>
        <v>0</v>
      </c>
      <c r="BH56" s="384"/>
      <c r="BI56" s="384"/>
      <c r="BJ56" s="384"/>
      <c r="BK56" s="384"/>
      <c r="BL56" s="384">
        <f t="shared" si="16"/>
        <v>5664.3900000000067</v>
      </c>
      <c r="BM56" s="384"/>
      <c r="BN56" s="384"/>
      <c r="BO56" s="384"/>
      <c r="BP56" s="384">
        <f>I56-N56-S56-X56-AC56-AH56-BK56-BB56-AM56-AR56-AW56</f>
        <v>5664.3900000000067</v>
      </c>
      <c r="BQ56" s="384">
        <f t="shared" si="42"/>
        <v>0</v>
      </c>
      <c r="BR56" s="384"/>
      <c r="BS56" s="384"/>
      <c r="BU56" s="386"/>
      <c r="BV56" s="384">
        <f t="shared" si="43"/>
        <v>5664.3900000000067</v>
      </c>
    </row>
    <row r="57" spans="1:74" ht="38.450000000000003" customHeight="1" x14ac:dyDescent="0.25">
      <c r="A57" s="382" t="s">
        <v>222</v>
      </c>
      <c r="B57" s="383" t="s">
        <v>12</v>
      </c>
      <c r="C57" s="374">
        <v>226</v>
      </c>
      <c r="D57" s="387" t="s">
        <v>524</v>
      </c>
      <c r="E57" s="384">
        <f t="shared" si="44"/>
        <v>883907.47</v>
      </c>
      <c r="F57" s="384"/>
      <c r="G57" s="384"/>
      <c r="H57" s="384"/>
      <c r="I57" s="384">
        <v>883907.47</v>
      </c>
      <c r="J57" s="384">
        <f t="shared" si="13"/>
        <v>0</v>
      </c>
      <c r="K57" s="384"/>
      <c r="L57" s="384"/>
      <c r="M57" s="384"/>
      <c r="N57" s="384"/>
      <c r="O57" s="384">
        <f t="shared" si="14"/>
        <v>265172.24</v>
      </c>
      <c r="P57" s="384"/>
      <c r="Q57" s="384"/>
      <c r="R57" s="384"/>
      <c r="S57" s="384">
        <v>265172.24</v>
      </c>
      <c r="T57" s="384">
        <f t="shared" si="37"/>
        <v>0</v>
      </c>
      <c r="U57" s="384"/>
      <c r="V57" s="384"/>
      <c r="W57" s="384"/>
      <c r="X57" s="384"/>
      <c r="Y57" s="384">
        <f t="shared" si="45"/>
        <v>618735.23</v>
      </c>
      <c r="Z57" s="384"/>
      <c r="AA57" s="384"/>
      <c r="AB57" s="384"/>
      <c r="AC57" s="386">
        <v>618735.23</v>
      </c>
      <c r="AD57" s="384">
        <f t="shared" si="38"/>
        <v>0</v>
      </c>
      <c r="AE57" s="384"/>
      <c r="AF57" s="384"/>
      <c r="AG57" s="384"/>
      <c r="AH57" s="386"/>
      <c r="AI57" s="384">
        <f t="shared" si="39"/>
        <v>0</v>
      </c>
      <c r="AJ57" s="384"/>
      <c r="AK57" s="384"/>
      <c r="AL57" s="384"/>
      <c r="AM57" s="386"/>
      <c r="AN57" s="384">
        <v>0</v>
      </c>
      <c r="AO57" s="384"/>
      <c r="AP57" s="384"/>
      <c r="AQ57" s="384"/>
      <c r="AR57" s="386"/>
      <c r="AS57" s="384">
        <v>0</v>
      </c>
      <c r="AT57" s="384"/>
      <c r="AU57" s="384"/>
      <c r="AV57" s="384"/>
      <c r="AW57" s="386"/>
      <c r="AX57" s="384">
        <f t="shared" si="40"/>
        <v>0</v>
      </c>
      <c r="AY57" s="384"/>
      <c r="AZ57" s="384"/>
      <c r="BA57" s="384"/>
      <c r="BB57" s="386"/>
      <c r="BC57" s="384">
        <f t="shared" si="46"/>
        <v>0</v>
      </c>
      <c r="BD57" s="384"/>
      <c r="BE57" s="384"/>
      <c r="BF57" s="384"/>
      <c r="BG57" s="384">
        <f t="shared" si="41"/>
        <v>0</v>
      </c>
      <c r="BH57" s="384"/>
      <c r="BI57" s="384"/>
      <c r="BJ57" s="384"/>
      <c r="BK57" s="384"/>
      <c r="BL57" s="384">
        <f t="shared" si="16"/>
        <v>0</v>
      </c>
      <c r="BM57" s="384"/>
      <c r="BN57" s="384"/>
      <c r="BO57" s="384"/>
      <c r="BP57" s="384"/>
      <c r="BQ57" s="384">
        <f t="shared" si="42"/>
        <v>0</v>
      </c>
      <c r="BR57" s="384"/>
      <c r="BS57" s="384"/>
      <c r="BT57" s="384"/>
      <c r="BU57" s="386"/>
      <c r="BV57" s="384">
        <f t="shared" si="43"/>
        <v>0</v>
      </c>
    </row>
    <row r="58" spans="1:74" ht="45" customHeight="1" x14ac:dyDescent="0.25">
      <c r="A58" s="382" t="s">
        <v>249</v>
      </c>
      <c r="B58" s="383" t="s">
        <v>13</v>
      </c>
      <c r="C58" s="374">
        <v>226</v>
      </c>
      <c r="D58" s="387" t="s">
        <v>525</v>
      </c>
      <c r="E58" s="384">
        <f t="shared" si="44"/>
        <v>901873.41</v>
      </c>
      <c r="F58" s="384"/>
      <c r="G58" s="384"/>
      <c r="H58" s="384"/>
      <c r="I58" s="384">
        <v>901873.41</v>
      </c>
      <c r="J58" s="384">
        <f t="shared" si="13"/>
        <v>0</v>
      </c>
      <c r="K58" s="384"/>
      <c r="L58" s="384"/>
      <c r="M58" s="384"/>
      <c r="N58" s="384"/>
      <c r="O58" s="384">
        <f t="shared" si="14"/>
        <v>586217.72</v>
      </c>
      <c r="P58" s="384"/>
      <c r="Q58" s="384"/>
      <c r="R58" s="384"/>
      <c r="S58" s="384">
        <v>586217.72</v>
      </c>
      <c r="T58" s="384">
        <f t="shared" si="37"/>
        <v>0</v>
      </c>
      <c r="U58" s="384"/>
      <c r="V58" s="384"/>
      <c r="W58" s="384"/>
      <c r="X58" s="384"/>
      <c r="Y58" s="384">
        <f t="shared" si="45"/>
        <v>315655.69</v>
      </c>
      <c r="Z58" s="384"/>
      <c r="AA58" s="384"/>
      <c r="AB58" s="384"/>
      <c r="AC58" s="386">
        <v>315655.69</v>
      </c>
      <c r="AD58" s="384">
        <f t="shared" si="38"/>
        <v>0</v>
      </c>
      <c r="AE58" s="384"/>
      <c r="AF58" s="384"/>
      <c r="AG58" s="384"/>
      <c r="AH58" s="386"/>
      <c r="AI58" s="384">
        <f t="shared" si="39"/>
        <v>0</v>
      </c>
      <c r="AJ58" s="384"/>
      <c r="AK58" s="384"/>
      <c r="AL58" s="384"/>
      <c r="AM58" s="386"/>
      <c r="AN58" s="384">
        <v>0</v>
      </c>
      <c r="AO58" s="384"/>
      <c r="AP58" s="384"/>
      <c r="AQ58" s="384"/>
      <c r="AR58" s="386"/>
      <c r="AS58" s="384">
        <v>0</v>
      </c>
      <c r="AT58" s="384"/>
      <c r="AU58" s="384"/>
      <c r="AV58" s="384"/>
      <c r="AW58" s="386"/>
      <c r="AX58" s="384">
        <f t="shared" si="40"/>
        <v>0</v>
      </c>
      <c r="AY58" s="384"/>
      <c r="AZ58" s="384"/>
      <c r="BA58" s="384"/>
      <c r="BB58" s="386"/>
      <c r="BC58" s="384">
        <f t="shared" si="46"/>
        <v>5.8207660913467407E-11</v>
      </c>
      <c r="BD58" s="384"/>
      <c r="BE58" s="384"/>
      <c r="BF58" s="384"/>
      <c r="BG58" s="384">
        <f t="shared" si="41"/>
        <v>0</v>
      </c>
      <c r="BH58" s="384"/>
      <c r="BI58" s="384"/>
      <c r="BJ58" s="384"/>
      <c r="BK58" s="384"/>
      <c r="BL58" s="384">
        <f t="shared" si="16"/>
        <v>0</v>
      </c>
      <c r="BM58" s="384"/>
      <c r="BN58" s="384"/>
      <c r="BO58" s="384"/>
      <c r="BP58" s="384"/>
      <c r="BQ58" s="384">
        <f t="shared" si="42"/>
        <v>0</v>
      </c>
      <c r="BR58" s="384"/>
      <c r="BS58" s="384"/>
      <c r="BT58" s="384"/>
      <c r="BU58" s="386"/>
      <c r="BV58" s="384">
        <f t="shared" si="43"/>
        <v>5.8207660913467407E-11</v>
      </c>
    </row>
    <row r="59" spans="1:74" ht="42.6" customHeight="1" x14ac:dyDescent="0.25">
      <c r="A59" s="382" t="s">
        <v>382</v>
      </c>
      <c r="B59" s="383" t="s">
        <v>15</v>
      </c>
      <c r="C59" s="374">
        <v>226</v>
      </c>
      <c r="D59" s="387" t="s">
        <v>526</v>
      </c>
      <c r="E59" s="384">
        <f t="shared" si="44"/>
        <v>1013697.54</v>
      </c>
      <c r="F59" s="384"/>
      <c r="G59" s="384"/>
      <c r="H59" s="384"/>
      <c r="I59" s="384">
        <v>1013697.54</v>
      </c>
      <c r="J59" s="384">
        <f t="shared" si="13"/>
        <v>0</v>
      </c>
      <c r="K59" s="384"/>
      <c r="L59" s="384"/>
      <c r="M59" s="384"/>
      <c r="N59" s="384"/>
      <c r="O59" s="384">
        <f t="shared" si="14"/>
        <v>658903.4</v>
      </c>
      <c r="P59" s="384"/>
      <c r="Q59" s="384"/>
      <c r="R59" s="384"/>
      <c r="S59" s="384">
        <v>658903.4</v>
      </c>
      <c r="T59" s="384">
        <f t="shared" si="37"/>
        <v>0</v>
      </c>
      <c r="U59" s="384"/>
      <c r="V59" s="384"/>
      <c r="W59" s="384"/>
      <c r="X59" s="384"/>
      <c r="Y59" s="384">
        <f t="shared" si="45"/>
        <v>354794.14</v>
      </c>
      <c r="Z59" s="384"/>
      <c r="AA59" s="384"/>
      <c r="AB59" s="384"/>
      <c r="AC59" s="386">
        <v>354794.14</v>
      </c>
      <c r="AD59" s="384">
        <f t="shared" si="38"/>
        <v>0</v>
      </c>
      <c r="AE59" s="384"/>
      <c r="AF59" s="384"/>
      <c r="AG59" s="384"/>
      <c r="AH59" s="386"/>
      <c r="AI59" s="384">
        <f t="shared" si="39"/>
        <v>0</v>
      </c>
      <c r="AJ59" s="384"/>
      <c r="AK59" s="384"/>
      <c r="AL59" s="384"/>
      <c r="AM59" s="386"/>
      <c r="AN59" s="384">
        <v>0</v>
      </c>
      <c r="AO59" s="384"/>
      <c r="AP59" s="384"/>
      <c r="AQ59" s="384"/>
      <c r="AR59" s="386"/>
      <c r="AS59" s="384">
        <v>0</v>
      </c>
      <c r="AT59" s="384"/>
      <c r="AU59" s="384"/>
      <c r="AV59" s="384"/>
      <c r="AW59" s="386"/>
      <c r="AX59" s="384">
        <f t="shared" si="40"/>
        <v>0</v>
      </c>
      <c r="AY59" s="384"/>
      <c r="AZ59" s="384"/>
      <c r="BA59" s="384"/>
      <c r="BB59" s="386"/>
      <c r="BC59" s="384">
        <f t="shared" si="46"/>
        <v>0</v>
      </c>
      <c r="BD59" s="384"/>
      <c r="BE59" s="384"/>
      <c r="BF59" s="384"/>
      <c r="BG59" s="384">
        <f t="shared" si="41"/>
        <v>0</v>
      </c>
      <c r="BH59" s="384"/>
      <c r="BI59" s="384"/>
      <c r="BJ59" s="384"/>
      <c r="BK59" s="384"/>
      <c r="BL59" s="384">
        <f t="shared" si="16"/>
        <v>0</v>
      </c>
      <c r="BM59" s="384"/>
      <c r="BN59" s="384"/>
      <c r="BO59" s="384"/>
      <c r="BP59" s="384"/>
      <c r="BQ59" s="384">
        <f t="shared" si="42"/>
        <v>0</v>
      </c>
      <c r="BR59" s="384"/>
      <c r="BS59" s="384"/>
      <c r="BT59" s="384"/>
      <c r="BU59" s="386"/>
      <c r="BV59" s="384">
        <f t="shared" si="43"/>
        <v>0</v>
      </c>
    </row>
    <row r="60" spans="1:74" ht="30" customHeight="1" x14ac:dyDescent="0.25">
      <c r="A60" s="382" t="s">
        <v>383</v>
      </c>
      <c r="B60" s="383" t="s">
        <v>14</v>
      </c>
      <c r="C60" s="374">
        <v>226</v>
      </c>
      <c r="D60" s="387" t="s">
        <v>605</v>
      </c>
      <c r="E60" s="384">
        <f t="shared" si="44"/>
        <v>1297952.42</v>
      </c>
      <c r="F60" s="384"/>
      <c r="G60" s="384"/>
      <c r="H60" s="384"/>
      <c r="I60" s="384">
        <v>1297952.42</v>
      </c>
      <c r="J60" s="384">
        <f t="shared" si="13"/>
        <v>0</v>
      </c>
      <c r="K60" s="384"/>
      <c r="L60" s="384"/>
      <c r="M60" s="384"/>
      <c r="N60" s="384"/>
      <c r="O60" s="384">
        <f t="shared" si="14"/>
        <v>843669.07</v>
      </c>
      <c r="P60" s="384"/>
      <c r="Q60" s="384"/>
      <c r="R60" s="384"/>
      <c r="S60" s="384">
        <v>843669.07</v>
      </c>
      <c r="T60" s="384">
        <f t="shared" si="37"/>
        <v>0</v>
      </c>
      <c r="U60" s="384"/>
      <c r="V60" s="384"/>
      <c r="W60" s="384"/>
      <c r="X60" s="384"/>
      <c r="Y60" s="384">
        <f t="shared" si="45"/>
        <v>454283.35</v>
      </c>
      <c r="Z60" s="384"/>
      <c r="AA60" s="384"/>
      <c r="AB60" s="384"/>
      <c r="AC60" s="386">
        <v>454283.35</v>
      </c>
      <c r="AD60" s="384">
        <f t="shared" si="38"/>
        <v>0</v>
      </c>
      <c r="AE60" s="384"/>
      <c r="AF60" s="384"/>
      <c r="AG60" s="384"/>
      <c r="AH60" s="386"/>
      <c r="AI60" s="384">
        <f t="shared" si="39"/>
        <v>0</v>
      </c>
      <c r="AJ60" s="384"/>
      <c r="AK60" s="384"/>
      <c r="AL60" s="384"/>
      <c r="AM60" s="386"/>
      <c r="AN60" s="384">
        <v>0</v>
      </c>
      <c r="AO60" s="384"/>
      <c r="AP60" s="384"/>
      <c r="AQ60" s="384"/>
      <c r="AR60" s="386"/>
      <c r="AS60" s="384">
        <v>0</v>
      </c>
      <c r="AT60" s="384"/>
      <c r="AU60" s="384"/>
      <c r="AV60" s="384"/>
      <c r="AW60" s="386"/>
      <c r="AX60" s="384">
        <f t="shared" si="40"/>
        <v>0</v>
      </c>
      <c r="AY60" s="384"/>
      <c r="AZ60" s="384"/>
      <c r="BA60" s="384"/>
      <c r="BB60" s="386"/>
      <c r="BC60" s="384">
        <f t="shared" si="46"/>
        <v>0</v>
      </c>
      <c r="BD60" s="384"/>
      <c r="BE60" s="384"/>
      <c r="BF60" s="384"/>
      <c r="BG60" s="384">
        <f t="shared" si="41"/>
        <v>0</v>
      </c>
      <c r="BH60" s="384"/>
      <c r="BI60" s="384"/>
      <c r="BJ60" s="384"/>
      <c r="BK60" s="384"/>
      <c r="BL60" s="384">
        <f t="shared" si="16"/>
        <v>0</v>
      </c>
      <c r="BM60" s="384"/>
      <c r="BN60" s="384"/>
      <c r="BO60" s="384"/>
      <c r="BP60" s="384"/>
      <c r="BQ60" s="384">
        <f t="shared" si="42"/>
        <v>0</v>
      </c>
      <c r="BR60" s="384"/>
      <c r="BS60" s="384"/>
      <c r="BT60" s="384"/>
      <c r="BU60" s="386"/>
      <c r="BV60" s="384">
        <f t="shared" si="43"/>
        <v>0</v>
      </c>
    </row>
    <row r="61" spans="1:74" ht="46.15" customHeight="1" x14ac:dyDescent="0.25">
      <c r="A61" s="382" t="s">
        <v>384</v>
      </c>
      <c r="B61" s="383" t="s">
        <v>270</v>
      </c>
      <c r="C61" s="374">
        <v>226</v>
      </c>
      <c r="D61" s="387" t="s">
        <v>527</v>
      </c>
      <c r="E61" s="384">
        <f t="shared" si="44"/>
        <v>49584.84</v>
      </c>
      <c r="F61" s="384"/>
      <c r="G61" s="384"/>
      <c r="H61" s="384"/>
      <c r="I61" s="384">
        <v>49584.84</v>
      </c>
      <c r="J61" s="384">
        <f t="shared" si="13"/>
        <v>0</v>
      </c>
      <c r="K61" s="384"/>
      <c r="L61" s="384"/>
      <c r="M61" s="384"/>
      <c r="N61" s="384"/>
      <c r="O61" s="384">
        <f t="shared" si="14"/>
        <v>0</v>
      </c>
      <c r="P61" s="384"/>
      <c r="Q61" s="384"/>
      <c r="R61" s="384"/>
      <c r="S61" s="384"/>
      <c r="T61" s="384">
        <f t="shared" si="37"/>
        <v>0</v>
      </c>
      <c r="U61" s="384"/>
      <c r="V61" s="384"/>
      <c r="W61" s="384"/>
      <c r="X61" s="384"/>
      <c r="Y61" s="384">
        <f t="shared" si="45"/>
        <v>49584.84</v>
      </c>
      <c r="Z61" s="384"/>
      <c r="AA61" s="384"/>
      <c r="AB61" s="384"/>
      <c r="AC61" s="386">
        <v>49584.84</v>
      </c>
      <c r="AD61" s="384">
        <f t="shared" si="38"/>
        <v>0</v>
      </c>
      <c r="AE61" s="384"/>
      <c r="AF61" s="384"/>
      <c r="AG61" s="384"/>
      <c r="AH61" s="386"/>
      <c r="AI61" s="384">
        <f t="shared" si="39"/>
        <v>0</v>
      </c>
      <c r="AJ61" s="384"/>
      <c r="AK61" s="384"/>
      <c r="AL61" s="384"/>
      <c r="AM61" s="386"/>
      <c r="AN61" s="384">
        <v>0</v>
      </c>
      <c r="AO61" s="384"/>
      <c r="AP61" s="384"/>
      <c r="AQ61" s="384"/>
      <c r="AR61" s="386"/>
      <c r="AS61" s="384">
        <v>0</v>
      </c>
      <c r="AT61" s="384"/>
      <c r="AU61" s="384"/>
      <c r="AV61" s="384"/>
      <c r="AW61" s="386"/>
      <c r="AX61" s="384">
        <f t="shared" si="40"/>
        <v>0</v>
      </c>
      <c r="AY61" s="384"/>
      <c r="AZ61" s="384"/>
      <c r="BA61" s="384"/>
      <c r="BB61" s="386"/>
      <c r="BC61" s="384">
        <f t="shared" si="46"/>
        <v>0</v>
      </c>
      <c r="BD61" s="384"/>
      <c r="BE61" s="384"/>
      <c r="BF61" s="384"/>
      <c r="BG61" s="384">
        <f t="shared" si="41"/>
        <v>0</v>
      </c>
      <c r="BH61" s="384"/>
      <c r="BI61" s="384"/>
      <c r="BJ61" s="384"/>
      <c r="BK61" s="384"/>
      <c r="BL61" s="384">
        <f t="shared" si="16"/>
        <v>0</v>
      </c>
      <c r="BM61" s="384"/>
      <c r="BN61" s="384"/>
      <c r="BO61" s="384"/>
      <c r="BP61" s="384"/>
      <c r="BQ61" s="384">
        <f t="shared" si="42"/>
        <v>0</v>
      </c>
      <c r="BR61" s="384"/>
      <c r="BS61" s="384"/>
      <c r="BT61" s="384"/>
      <c r="BU61" s="386"/>
      <c r="BV61" s="384">
        <f t="shared" si="43"/>
        <v>0</v>
      </c>
    </row>
    <row r="62" spans="1:74" ht="51.6" customHeight="1" x14ac:dyDescent="0.25">
      <c r="A62" s="382" t="s">
        <v>385</v>
      </c>
      <c r="B62" s="383" t="s">
        <v>208</v>
      </c>
      <c r="C62" s="374">
        <v>226</v>
      </c>
      <c r="D62" s="387" t="s">
        <v>528</v>
      </c>
      <c r="E62" s="384">
        <f t="shared" si="44"/>
        <v>58020.91</v>
      </c>
      <c r="F62" s="384"/>
      <c r="G62" s="384"/>
      <c r="H62" s="384"/>
      <c r="I62" s="384">
        <v>58020.91</v>
      </c>
      <c r="J62" s="384">
        <f t="shared" si="13"/>
        <v>0</v>
      </c>
      <c r="K62" s="384"/>
      <c r="L62" s="384"/>
      <c r="M62" s="384"/>
      <c r="N62" s="384"/>
      <c r="O62" s="384">
        <f t="shared" si="14"/>
        <v>0</v>
      </c>
      <c r="P62" s="384"/>
      <c r="Q62" s="384"/>
      <c r="R62" s="384"/>
      <c r="S62" s="384"/>
      <c r="T62" s="384">
        <f t="shared" si="37"/>
        <v>58020.91</v>
      </c>
      <c r="U62" s="384"/>
      <c r="V62" s="384"/>
      <c r="W62" s="384"/>
      <c r="X62" s="384">
        <v>58020.91</v>
      </c>
      <c r="Y62" s="384">
        <f t="shared" si="45"/>
        <v>0</v>
      </c>
      <c r="Z62" s="384"/>
      <c r="AA62" s="384"/>
      <c r="AB62" s="384"/>
      <c r="AC62" s="386"/>
      <c r="AD62" s="384">
        <f t="shared" si="38"/>
        <v>0</v>
      </c>
      <c r="AE62" s="384"/>
      <c r="AF62" s="384"/>
      <c r="AG62" s="384"/>
      <c r="AH62" s="386"/>
      <c r="AI62" s="384">
        <f t="shared" si="39"/>
        <v>0</v>
      </c>
      <c r="AJ62" s="384"/>
      <c r="AK62" s="384"/>
      <c r="AL62" s="384"/>
      <c r="AM62" s="386"/>
      <c r="AN62" s="384">
        <v>0</v>
      </c>
      <c r="AO62" s="384"/>
      <c r="AP62" s="384"/>
      <c r="AQ62" s="384"/>
      <c r="AR62" s="386"/>
      <c r="AS62" s="384">
        <v>0</v>
      </c>
      <c r="AT62" s="384"/>
      <c r="AU62" s="384"/>
      <c r="AV62" s="384"/>
      <c r="AW62" s="386"/>
      <c r="AX62" s="384">
        <f t="shared" si="40"/>
        <v>0</v>
      </c>
      <c r="AY62" s="384"/>
      <c r="AZ62" s="384"/>
      <c r="BA62" s="384"/>
      <c r="BB62" s="386"/>
      <c r="BC62" s="384">
        <f t="shared" si="46"/>
        <v>0</v>
      </c>
      <c r="BD62" s="384"/>
      <c r="BE62" s="384"/>
      <c r="BF62" s="384"/>
      <c r="BG62" s="384">
        <f t="shared" si="41"/>
        <v>0</v>
      </c>
      <c r="BH62" s="384"/>
      <c r="BI62" s="384"/>
      <c r="BJ62" s="384"/>
      <c r="BK62" s="384"/>
      <c r="BL62" s="384">
        <f t="shared" si="16"/>
        <v>0</v>
      </c>
      <c r="BM62" s="384"/>
      <c r="BN62" s="384"/>
      <c r="BO62" s="384"/>
      <c r="BP62" s="384"/>
      <c r="BQ62" s="384">
        <f t="shared" si="42"/>
        <v>0</v>
      </c>
      <c r="BR62" s="384"/>
      <c r="BS62" s="384"/>
      <c r="BT62" s="384"/>
      <c r="BU62" s="386"/>
      <c r="BV62" s="384">
        <f t="shared" si="43"/>
        <v>0</v>
      </c>
    </row>
    <row r="63" spans="1:74" ht="40.9" customHeight="1" x14ac:dyDescent="0.25">
      <c r="A63" s="382" t="s">
        <v>426</v>
      </c>
      <c r="B63" s="388" t="s">
        <v>248</v>
      </c>
      <c r="C63" s="377">
        <v>226</v>
      </c>
      <c r="D63" s="387" t="s">
        <v>509</v>
      </c>
      <c r="E63" s="384">
        <f t="shared" si="44"/>
        <v>1239</v>
      </c>
      <c r="F63" s="384"/>
      <c r="G63" s="384"/>
      <c r="H63" s="384"/>
      <c r="I63" s="384">
        <v>1239</v>
      </c>
      <c r="J63" s="384">
        <f t="shared" si="13"/>
        <v>0</v>
      </c>
      <c r="K63" s="384"/>
      <c r="L63" s="384"/>
      <c r="M63" s="384"/>
      <c r="N63" s="384"/>
      <c r="O63" s="384">
        <f t="shared" si="14"/>
        <v>0</v>
      </c>
      <c r="P63" s="384"/>
      <c r="Q63" s="384"/>
      <c r="R63" s="384"/>
      <c r="S63" s="384"/>
      <c r="T63" s="384">
        <f t="shared" si="37"/>
        <v>1239</v>
      </c>
      <c r="U63" s="384"/>
      <c r="V63" s="384"/>
      <c r="W63" s="384"/>
      <c r="X63" s="384">
        <v>1239</v>
      </c>
      <c r="Y63" s="384">
        <f t="shared" si="45"/>
        <v>0</v>
      </c>
      <c r="Z63" s="384"/>
      <c r="AA63" s="384"/>
      <c r="AB63" s="384"/>
      <c r="AC63" s="386"/>
      <c r="AD63" s="384">
        <f t="shared" si="38"/>
        <v>0</v>
      </c>
      <c r="AE63" s="384"/>
      <c r="AF63" s="384"/>
      <c r="AG63" s="384"/>
      <c r="AH63" s="386"/>
      <c r="AI63" s="384">
        <f t="shared" si="39"/>
        <v>0</v>
      </c>
      <c r="AJ63" s="384"/>
      <c r="AK63" s="384"/>
      <c r="AL63" s="384"/>
      <c r="AM63" s="386"/>
      <c r="AN63" s="384">
        <v>0</v>
      </c>
      <c r="AO63" s="384"/>
      <c r="AP63" s="384"/>
      <c r="AQ63" s="384"/>
      <c r="AR63" s="386"/>
      <c r="AS63" s="384">
        <v>0</v>
      </c>
      <c r="AT63" s="384"/>
      <c r="AU63" s="384"/>
      <c r="AV63" s="384"/>
      <c r="AW63" s="386"/>
      <c r="AX63" s="384">
        <f t="shared" si="40"/>
        <v>0</v>
      </c>
      <c r="AY63" s="384"/>
      <c r="AZ63" s="384"/>
      <c r="BA63" s="384"/>
      <c r="BB63" s="386"/>
      <c r="BC63" s="384">
        <f t="shared" si="46"/>
        <v>0</v>
      </c>
      <c r="BD63" s="384"/>
      <c r="BE63" s="384"/>
      <c r="BF63" s="384"/>
      <c r="BG63" s="384">
        <f t="shared" si="41"/>
        <v>0</v>
      </c>
      <c r="BH63" s="384"/>
      <c r="BI63" s="384"/>
      <c r="BJ63" s="384"/>
      <c r="BK63" s="384"/>
      <c r="BL63" s="384">
        <f t="shared" si="16"/>
        <v>0</v>
      </c>
      <c r="BM63" s="384"/>
      <c r="BN63" s="384"/>
      <c r="BO63" s="384"/>
      <c r="BP63" s="384"/>
      <c r="BQ63" s="384">
        <f t="shared" si="42"/>
        <v>0</v>
      </c>
      <c r="BR63" s="384"/>
      <c r="BS63" s="384"/>
      <c r="BT63" s="384"/>
      <c r="BU63" s="386"/>
      <c r="BV63" s="384">
        <f t="shared" si="43"/>
        <v>0</v>
      </c>
    </row>
    <row r="64" spans="1:74" ht="45.6" customHeight="1" x14ac:dyDescent="0.25">
      <c r="A64" s="382" t="s">
        <v>691</v>
      </c>
      <c r="B64" s="388" t="s">
        <v>470</v>
      </c>
      <c r="C64" s="377">
        <v>226</v>
      </c>
      <c r="D64" s="387" t="s">
        <v>529</v>
      </c>
      <c r="E64" s="384">
        <f>F64+G64+H64+I64</f>
        <v>9100</v>
      </c>
      <c r="F64" s="384"/>
      <c r="G64" s="384"/>
      <c r="H64" s="384"/>
      <c r="I64" s="384">
        <v>9100</v>
      </c>
      <c r="J64" s="384">
        <f t="shared" si="13"/>
        <v>0</v>
      </c>
      <c r="K64" s="384"/>
      <c r="L64" s="384"/>
      <c r="M64" s="384"/>
      <c r="N64" s="384"/>
      <c r="O64" s="384">
        <f t="shared" si="14"/>
        <v>0</v>
      </c>
      <c r="P64" s="384"/>
      <c r="Q64" s="384"/>
      <c r="R64" s="384"/>
      <c r="S64" s="384"/>
      <c r="T64" s="384">
        <f t="shared" si="37"/>
        <v>0</v>
      </c>
      <c r="U64" s="384"/>
      <c r="V64" s="384"/>
      <c r="W64" s="384"/>
      <c r="X64" s="384"/>
      <c r="Y64" s="384">
        <f t="shared" si="45"/>
        <v>0</v>
      </c>
      <c r="Z64" s="384"/>
      <c r="AA64" s="384"/>
      <c r="AB64" s="384"/>
      <c r="AC64" s="386"/>
      <c r="AD64" s="384">
        <f t="shared" ref="AD64:AD65" si="47">SUM(AE64:AH64)</f>
        <v>0</v>
      </c>
      <c r="AE64" s="384"/>
      <c r="AF64" s="384"/>
      <c r="AG64" s="384"/>
      <c r="AH64" s="386"/>
      <c r="AI64" s="384">
        <f t="shared" si="39"/>
        <v>9100</v>
      </c>
      <c r="AJ64" s="384"/>
      <c r="AK64" s="384"/>
      <c r="AL64" s="384"/>
      <c r="AM64" s="386">
        <v>9100</v>
      </c>
      <c r="AN64" s="384">
        <v>0</v>
      </c>
      <c r="AO64" s="384"/>
      <c r="AP64" s="384"/>
      <c r="AQ64" s="384"/>
      <c r="AR64" s="386"/>
      <c r="AS64" s="384">
        <v>0</v>
      </c>
      <c r="AT64" s="384"/>
      <c r="AU64" s="384"/>
      <c r="AV64" s="384"/>
      <c r="AW64" s="386"/>
      <c r="AX64" s="384">
        <f t="shared" si="40"/>
        <v>0</v>
      </c>
      <c r="AY64" s="384"/>
      <c r="AZ64" s="384"/>
      <c r="BA64" s="384"/>
      <c r="BB64" s="386"/>
      <c r="BC64" s="384">
        <f t="shared" si="46"/>
        <v>0</v>
      </c>
      <c r="BD64" s="384"/>
      <c r="BE64" s="384"/>
      <c r="BF64" s="384"/>
      <c r="BG64" s="384">
        <f t="shared" ref="BG64:BG65" si="48">SUM(BH64:BK64)</f>
        <v>0</v>
      </c>
      <c r="BH64" s="384"/>
      <c r="BI64" s="384"/>
      <c r="BJ64" s="384"/>
      <c r="BK64" s="384"/>
      <c r="BL64" s="384">
        <f t="shared" si="16"/>
        <v>0</v>
      </c>
      <c r="BM64" s="384"/>
      <c r="BN64" s="384"/>
      <c r="BO64" s="384"/>
      <c r="BP64" s="384"/>
      <c r="BQ64" s="384">
        <f t="shared" si="42"/>
        <v>0</v>
      </c>
      <c r="BR64" s="384"/>
      <c r="BS64" s="384"/>
      <c r="BT64" s="384"/>
      <c r="BU64" s="386"/>
      <c r="BV64" s="384">
        <f t="shared" si="43"/>
        <v>0</v>
      </c>
    </row>
    <row r="65" spans="1:74" ht="105" customHeight="1" x14ac:dyDescent="0.25">
      <c r="A65" s="382" t="s">
        <v>690</v>
      </c>
      <c r="B65" s="388" t="s">
        <v>479</v>
      </c>
      <c r="C65" s="377">
        <v>226</v>
      </c>
      <c r="D65" s="387" t="s">
        <v>742</v>
      </c>
      <c r="E65" s="384">
        <f>I65</f>
        <v>72000</v>
      </c>
      <c r="F65" s="384"/>
      <c r="G65" s="384"/>
      <c r="H65" s="384"/>
      <c r="I65" s="384">
        <v>72000</v>
      </c>
      <c r="J65" s="384">
        <f t="shared" si="13"/>
        <v>0</v>
      </c>
      <c r="K65" s="384"/>
      <c r="L65" s="384"/>
      <c r="M65" s="384"/>
      <c r="N65" s="384"/>
      <c r="O65" s="384">
        <f t="shared" si="14"/>
        <v>0</v>
      </c>
      <c r="P65" s="384"/>
      <c r="Q65" s="384"/>
      <c r="R65" s="384"/>
      <c r="S65" s="384"/>
      <c r="T65" s="384">
        <f t="shared" si="37"/>
        <v>0</v>
      </c>
      <c r="U65" s="384"/>
      <c r="V65" s="384"/>
      <c r="W65" s="384"/>
      <c r="X65" s="384"/>
      <c r="Y65" s="384">
        <f t="shared" si="45"/>
        <v>0</v>
      </c>
      <c r="Z65" s="384"/>
      <c r="AA65" s="384"/>
      <c r="AB65" s="384"/>
      <c r="AC65" s="386"/>
      <c r="AD65" s="384">
        <f t="shared" si="47"/>
        <v>0</v>
      </c>
      <c r="AE65" s="384"/>
      <c r="AF65" s="384"/>
      <c r="AG65" s="384"/>
      <c r="AH65" s="386">
        <v>0</v>
      </c>
      <c r="AI65" s="384">
        <f t="shared" si="39"/>
        <v>8100</v>
      </c>
      <c r="AJ65" s="384"/>
      <c r="AK65" s="384"/>
      <c r="AL65" s="384"/>
      <c r="AM65" s="386">
        <v>8100</v>
      </c>
      <c r="AN65" s="384">
        <v>0</v>
      </c>
      <c r="AO65" s="384"/>
      <c r="AP65" s="384"/>
      <c r="AQ65" s="384"/>
      <c r="AR65" s="386"/>
      <c r="AS65" s="384">
        <v>0</v>
      </c>
      <c r="AT65" s="384"/>
      <c r="AU65" s="384"/>
      <c r="AV65" s="384"/>
      <c r="AW65" s="386"/>
      <c r="AX65" s="384">
        <f t="shared" si="40"/>
        <v>63900</v>
      </c>
      <c r="AY65" s="384"/>
      <c r="AZ65" s="384"/>
      <c r="BA65" s="384"/>
      <c r="BB65" s="386">
        <v>63900</v>
      </c>
      <c r="BC65" s="384">
        <f t="shared" si="46"/>
        <v>0</v>
      </c>
      <c r="BD65" s="384"/>
      <c r="BE65" s="384"/>
      <c r="BF65" s="384"/>
      <c r="BG65" s="384">
        <f t="shared" si="48"/>
        <v>0</v>
      </c>
      <c r="BH65" s="384"/>
      <c r="BI65" s="384"/>
      <c r="BJ65" s="384"/>
      <c r="BK65" s="384"/>
      <c r="BL65" s="384">
        <f t="shared" si="16"/>
        <v>0</v>
      </c>
      <c r="BM65" s="384"/>
      <c r="BN65" s="384"/>
      <c r="BO65" s="384"/>
      <c r="BP65" s="384"/>
      <c r="BQ65" s="384">
        <f t="shared" si="42"/>
        <v>0</v>
      </c>
      <c r="BR65" s="384"/>
      <c r="BS65" s="384"/>
      <c r="BT65" s="384"/>
      <c r="BU65" s="386"/>
      <c r="BV65" s="384">
        <f t="shared" si="43"/>
        <v>0</v>
      </c>
    </row>
    <row r="66" spans="1:74" ht="43.15" customHeight="1" x14ac:dyDescent="0.25">
      <c r="A66" s="382" t="s">
        <v>689</v>
      </c>
      <c r="B66" s="388" t="s">
        <v>451</v>
      </c>
      <c r="C66" s="377">
        <v>290</v>
      </c>
      <c r="D66" s="392"/>
      <c r="E66" s="384">
        <f>F66+G66+H66+I66</f>
        <v>70000</v>
      </c>
      <c r="F66" s="384"/>
      <c r="G66" s="384"/>
      <c r="H66" s="384"/>
      <c r="I66" s="384">
        <v>70000</v>
      </c>
      <c r="J66" s="384">
        <f>K66+L66+M66+N66</f>
        <v>0</v>
      </c>
      <c r="K66" s="384"/>
      <c r="L66" s="384"/>
      <c r="M66" s="384"/>
      <c r="N66" s="384"/>
      <c r="O66" s="384">
        <f>P66+Q66+R66+S66</f>
        <v>0</v>
      </c>
      <c r="P66" s="384"/>
      <c r="Q66" s="384"/>
      <c r="R66" s="384"/>
      <c r="S66" s="384"/>
      <c r="T66" s="384">
        <f>U66+V66+W66+X66</f>
        <v>0</v>
      </c>
      <c r="U66" s="384"/>
      <c r="V66" s="384"/>
      <c r="W66" s="384"/>
      <c r="X66" s="384"/>
      <c r="Y66" s="384">
        <f>Z66+AA66+AB66+AC66</f>
        <v>0</v>
      </c>
      <c r="Z66" s="384"/>
      <c r="AA66" s="384"/>
      <c r="AB66" s="384"/>
      <c r="AC66" s="386"/>
      <c r="AD66" s="384">
        <f>SUM(AE66:AH66)</f>
        <v>70000</v>
      </c>
      <c r="AE66" s="384"/>
      <c r="AF66" s="384"/>
      <c r="AG66" s="384"/>
      <c r="AH66" s="386">
        <v>70000</v>
      </c>
      <c r="AI66" s="384">
        <f>SUM(AJ66:AM66)</f>
        <v>0</v>
      </c>
      <c r="AJ66" s="384"/>
      <c r="AK66" s="384"/>
      <c r="AL66" s="384"/>
      <c r="AM66" s="386"/>
      <c r="AN66" s="384">
        <v>0</v>
      </c>
      <c r="AO66" s="384"/>
      <c r="AP66" s="384"/>
      <c r="AQ66" s="384"/>
      <c r="AR66" s="386"/>
      <c r="AS66" s="384">
        <v>0</v>
      </c>
      <c r="AT66" s="384"/>
      <c r="AU66" s="384"/>
      <c r="AV66" s="384"/>
      <c r="AW66" s="386"/>
      <c r="AX66" s="384">
        <f>SUM(AY66:BB66)</f>
        <v>0</v>
      </c>
      <c r="AY66" s="384"/>
      <c r="AZ66" s="384"/>
      <c r="BA66" s="384"/>
      <c r="BB66" s="386"/>
      <c r="BC66" s="384">
        <f t="shared" si="46"/>
        <v>0</v>
      </c>
      <c r="BD66" s="384"/>
      <c r="BE66" s="384"/>
      <c r="BF66" s="384"/>
      <c r="BG66" s="384">
        <f>SUM(BH66:BK66)</f>
        <v>0</v>
      </c>
      <c r="BH66" s="384"/>
      <c r="BI66" s="384"/>
      <c r="BJ66" s="384"/>
      <c r="BK66" s="384"/>
      <c r="BL66" s="384">
        <f>BM66+BN66+BO66+BP66</f>
        <v>0</v>
      </c>
      <c r="BM66" s="384"/>
      <c r="BN66" s="384"/>
      <c r="BO66" s="384"/>
      <c r="BP66" s="384"/>
      <c r="BQ66" s="384">
        <f>SUM(BR66:BU66)</f>
        <v>0</v>
      </c>
      <c r="BR66" s="384"/>
      <c r="BS66" s="384"/>
      <c r="BT66" s="384"/>
      <c r="BU66" s="386"/>
      <c r="BV66" s="384">
        <f t="shared" si="43"/>
        <v>0</v>
      </c>
    </row>
    <row r="67" spans="1:74" ht="329.25" customHeight="1" x14ac:dyDescent="0.25">
      <c r="A67" s="382" t="s">
        <v>688</v>
      </c>
      <c r="B67" s="388" t="s">
        <v>488</v>
      </c>
      <c r="C67" s="377">
        <v>226</v>
      </c>
      <c r="D67" s="390" t="s">
        <v>719</v>
      </c>
      <c r="E67" s="384">
        <f t="shared" ref="E67:E70" si="49">F67+G67+H67+I67</f>
        <v>950190.02</v>
      </c>
      <c r="F67" s="384"/>
      <c r="G67" s="384"/>
      <c r="H67" s="384"/>
      <c r="I67" s="384">
        <v>950190.02</v>
      </c>
      <c r="J67" s="384">
        <f t="shared" ref="J67:J68" si="50">K67+L67+M67+N67</f>
        <v>0</v>
      </c>
      <c r="K67" s="384"/>
      <c r="L67" s="384"/>
      <c r="M67" s="384"/>
      <c r="N67" s="384"/>
      <c r="O67" s="384">
        <v>0</v>
      </c>
      <c r="P67" s="384"/>
      <c r="Q67" s="384"/>
      <c r="R67" s="384"/>
      <c r="S67" s="384"/>
      <c r="T67" s="384">
        <f t="shared" ref="T67:T68" si="51">U67+V67+W67+X67</f>
        <v>0</v>
      </c>
      <c r="U67" s="384"/>
      <c r="V67" s="384"/>
      <c r="W67" s="384"/>
      <c r="X67" s="384"/>
      <c r="Y67" s="384">
        <f t="shared" ref="Y67:Y68" si="52">Z67+AA67+AB67+AC67</f>
        <v>0</v>
      </c>
      <c r="Z67" s="384"/>
      <c r="AA67" s="384"/>
      <c r="AB67" s="384"/>
      <c r="AC67" s="386"/>
      <c r="AD67" s="384">
        <f t="shared" ref="AD67:AD68" si="53">SUM(AE67:AH67)</f>
        <v>0</v>
      </c>
      <c r="AE67" s="384"/>
      <c r="AF67" s="384"/>
      <c r="AG67" s="384"/>
      <c r="AH67" s="386"/>
      <c r="AI67" s="384">
        <f t="shared" ref="AI67:AI68" si="54">SUM(AJ67:AM67)</f>
        <v>0</v>
      </c>
      <c r="AJ67" s="384"/>
      <c r="AK67" s="384"/>
      <c r="AL67" s="384"/>
      <c r="AM67" s="386"/>
      <c r="AN67" s="384">
        <v>0</v>
      </c>
      <c r="AO67" s="384"/>
      <c r="AP67" s="384"/>
      <c r="AQ67" s="384"/>
      <c r="AR67" s="386"/>
      <c r="AS67" s="384">
        <v>950190.02</v>
      </c>
      <c r="AT67" s="384"/>
      <c r="AU67" s="384"/>
      <c r="AV67" s="384"/>
      <c r="AW67" s="386">
        <v>950190.02</v>
      </c>
      <c r="AX67" s="384">
        <f t="shared" ref="AX67:AX70" si="55">SUM(AY67:BB67)</f>
        <v>0</v>
      </c>
      <c r="AY67" s="384"/>
      <c r="AZ67" s="384"/>
      <c r="BA67" s="384"/>
      <c r="BB67" s="386"/>
      <c r="BC67" s="384">
        <f t="shared" si="46"/>
        <v>0</v>
      </c>
      <c r="BD67" s="384"/>
      <c r="BE67" s="384"/>
      <c r="BF67" s="384"/>
      <c r="BG67" s="384">
        <f t="shared" ref="BG67:BG70" si="56">SUM(BH67:BK67)</f>
        <v>0</v>
      </c>
      <c r="BH67" s="384"/>
      <c r="BI67" s="384"/>
      <c r="BJ67" s="384"/>
      <c r="BK67" s="384"/>
      <c r="BL67" s="384">
        <f t="shared" ref="BL67:BL70" si="57">BM67+BN67+BO67+BP67</f>
        <v>0</v>
      </c>
      <c r="BM67" s="384"/>
      <c r="BN67" s="384"/>
      <c r="BO67" s="384"/>
      <c r="BP67" s="384"/>
      <c r="BQ67" s="384">
        <f t="shared" ref="BQ67:BQ70" si="58">SUM(BR67:BU67)</f>
        <v>0</v>
      </c>
      <c r="BR67" s="384"/>
      <c r="BS67" s="384"/>
      <c r="BT67" s="384"/>
      <c r="BU67" s="386"/>
      <c r="BV67" s="384">
        <f t="shared" si="43"/>
        <v>0</v>
      </c>
    </row>
    <row r="68" spans="1:74" ht="105.6" customHeight="1" x14ac:dyDescent="0.25">
      <c r="A68" s="382" t="s">
        <v>688</v>
      </c>
      <c r="B68" s="388" t="s">
        <v>698</v>
      </c>
      <c r="C68" s="377">
        <v>226</v>
      </c>
      <c r="D68" s="387" t="s">
        <v>703</v>
      </c>
      <c r="E68" s="384">
        <f t="shared" si="49"/>
        <v>1690.14</v>
      </c>
      <c r="F68" s="384"/>
      <c r="G68" s="384"/>
      <c r="H68" s="384"/>
      <c r="I68" s="384">
        <v>1690.14</v>
      </c>
      <c r="J68" s="384">
        <f t="shared" si="50"/>
        <v>0</v>
      </c>
      <c r="K68" s="384"/>
      <c r="L68" s="384"/>
      <c r="M68" s="384"/>
      <c r="N68" s="384"/>
      <c r="O68" s="384"/>
      <c r="P68" s="384"/>
      <c r="Q68" s="384"/>
      <c r="R68" s="384"/>
      <c r="S68" s="384"/>
      <c r="T68" s="384">
        <f t="shared" si="51"/>
        <v>0</v>
      </c>
      <c r="U68" s="384"/>
      <c r="V68" s="384"/>
      <c r="W68" s="384"/>
      <c r="X68" s="384"/>
      <c r="Y68" s="384">
        <f t="shared" si="52"/>
        <v>0</v>
      </c>
      <c r="Z68" s="384"/>
      <c r="AA68" s="384"/>
      <c r="AB68" s="384"/>
      <c r="AC68" s="386"/>
      <c r="AD68" s="384">
        <f t="shared" si="53"/>
        <v>0</v>
      </c>
      <c r="AE68" s="384"/>
      <c r="AF68" s="384"/>
      <c r="AG68" s="384"/>
      <c r="AH68" s="386"/>
      <c r="AI68" s="384">
        <f t="shared" si="54"/>
        <v>0</v>
      </c>
      <c r="AJ68" s="384"/>
      <c r="AK68" s="384"/>
      <c r="AL68" s="384"/>
      <c r="AM68" s="386"/>
      <c r="AN68" s="384">
        <v>1690.14</v>
      </c>
      <c r="AO68" s="384"/>
      <c r="AP68" s="384"/>
      <c r="AQ68" s="384"/>
      <c r="AR68" s="386">
        <v>1690.14</v>
      </c>
      <c r="AS68" s="384">
        <v>0</v>
      </c>
      <c r="AT68" s="384"/>
      <c r="AU68" s="384"/>
      <c r="AV68" s="384"/>
      <c r="AW68" s="386"/>
      <c r="AX68" s="384">
        <f t="shared" si="55"/>
        <v>0</v>
      </c>
      <c r="AY68" s="384"/>
      <c r="AZ68" s="384"/>
      <c r="BA68" s="384"/>
      <c r="BB68" s="386"/>
      <c r="BC68" s="384">
        <f t="shared" si="46"/>
        <v>0</v>
      </c>
      <c r="BD68" s="384"/>
      <c r="BE68" s="384"/>
      <c r="BF68" s="384"/>
      <c r="BG68" s="384">
        <f t="shared" si="56"/>
        <v>0</v>
      </c>
      <c r="BH68" s="384"/>
      <c r="BI68" s="384"/>
      <c r="BJ68" s="384"/>
      <c r="BK68" s="384"/>
      <c r="BL68" s="384">
        <f t="shared" si="57"/>
        <v>0</v>
      </c>
      <c r="BM68" s="384"/>
      <c r="BN68" s="384"/>
      <c r="BO68" s="384"/>
      <c r="BP68" s="384"/>
      <c r="BQ68" s="384">
        <f t="shared" si="58"/>
        <v>0</v>
      </c>
      <c r="BR68" s="384"/>
      <c r="BS68" s="384"/>
      <c r="BT68" s="384"/>
      <c r="BU68" s="386"/>
      <c r="BV68" s="384">
        <f t="shared" si="43"/>
        <v>0</v>
      </c>
    </row>
    <row r="69" spans="1:74" ht="115.5" customHeight="1" x14ac:dyDescent="0.25">
      <c r="A69" s="382" t="s">
        <v>712</v>
      </c>
      <c r="B69" s="383" t="s">
        <v>708</v>
      </c>
      <c r="C69" s="374">
        <v>226</v>
      </c>
      <c r="D69" s="387" t="s">
        <v>730</v>
      </c>
      <c r="E69" s="384">
        <f t="shared" si="49"/>
        <v>1900.38</v>
      </c>
      <c r="F69" s="384"/>
      <c r="G69" s="384"/>
      <c r="H69" s="384"/>
      <c r="I69" s="384">
        <v>1900.38</v>
      </c>
      <c r="J69" s="384">
        <v>0</v>
      </c>
      <c r="K69" s="384"/>
      <c r="L69" s="384"/>
      <c r="M69" s="384"/>
      <c r="N69" s="384"/>
      <c r="O69" s="384">
        <v>0</v>
      </c>
      <c r="P69" s="384"/>
      <c r="Q69" s="384"/>
      <c r="R69" s="384"/>
      <c r="S69" s="384"/>
      <c r="T69" s="384">
        <v>0</v>
      </c>
      <c r="U69" s="384"/>
      <c r="V69" s="384"/>
      <c r="W69" s="384"/>
      <c r="X69" s="384"/>
      <c r="Y69" s="384">
        <v>0</v>
      </c>
      <c r="Z69" s="384"/>
      <c r="AA69" s="384"/>
      <c r="AB69" s="384"/>
      <c r="AC69" s="386"/>
      <c r="AD69" s="384">
        <v>0</v>
      </c>
      <c r="AE69" s="384"/>
      <c r="AF69" s="384"/>
      <c r="AG69" s="384"/>
      <c r="AH69" s="386"/>
      <c r="AI69" s="384">
        <v>0</v>
      </c>
      <c r="AJ69" s="384"/>
      <c r="AK69" s="384"/>
      <c r="AL69" s="384"/>
      <c r="AM69" s="386"/>
      <c r="AN69" s="384">
        <v>0</v>
      </c>
      <c r="AO69" s="384"/>
      <c r="AP69" s="384"/>
      <c r="AQ69" s="384"/>
      <c r="AR69" s="386">
        <v>0</v>
      </c>
      <c r="AS69" s="384">
        <v>1900.38</v>
      </c>
      <c r="AT69" s="384"/>
      <c r="AU69" s="384"/>
      <c r="AV69" s="384"/>
      <c r="AW69" s="386">
        <v>1900.38</v>
      </c>
      <c r="AX69" s="384">
        <f t="shared" si="55"/>
        <v>0</v>
      </c>
      <c r="AY69" s="384"/>
      <c r="AZ69" s="384"/>
      <c r="BA69" s="384"/>
      <c r="BB69" s="386"/>
      <c r="BC69" s="384">
        <f t="shared" si="46"/>
        <v>0</v>
      </c>
      <c r="BD69" s="384"/>
      <c r="BE69" s="384"/>
      <c r="BF69" s="384"/>
      <c r="BG69" s="384">
        <f t="shared" si="56"/>
        <v>0</v>
      </c>
      <c r="BH69" s="384"/>
      <c r="BI69" s="384"/>
      <c r="BJ69" s="384"/>
      <c r="BK69" s="384"/>
      <c r="BL69" s="384">
        <f t="shared" si="57"/>
        <v>0</v>
      </c>
      <c r="BM69" s="384"/>
      <c r="BN69" s="384"/>
      <c r="BO69" s="384"/>
      <c r="BP69" s="384"/>
      <c r="BQ69" s="384">
        <f t="shared" si="58"/>
        <v>0</v>
      </c>
      <c r="BR69" s="384"/>
      <c r="BS69" s="384"/>
      <c r="BT69" s="384"/>
      <c r="BU69" s="386"/>
      <c r="BV69" s="384">
        <f t="shared" si="43"/>
        <v>0</v>
      </c>
    </row>
    <row r="70" spans="1:74" ht="115.5" customHeight="1" x14ac:dyDescent="0.25">
      <c r="A70" s="382" t="s">
        <v>732</v>
      </c>
      <c r="B70" s="383" t="s">
        <v>753</v>
      </c>
      <c r="C70" s="374">
        <v>226</v>
      </c>
      <c r="D70" s="387" t="s">
        <v>733</v>
      </c>
      <c r="E70" s="384">
        <f t="shared" si="49"/>
        <v>36797.69</v>
      </c>
      <c r="F70" s="384"/>
      <c r="G70" s="384"/>
      <c r="H70" s="384"/>
      <c r="I70" s="384">
        <v>36797.69</v>
      </c>
      <c r="J70" s="384">
        <v>0</v>
      </c>
      <c r="K70" s="384"/>
      <c r="L70" s="384"/>
      <c r="M70" s="384"/>
      <c r="N70" s="384"/>
      <c r="O70" s="384">
        <v>0</v>
      </c>
      <c r="P70" s="384"/>
      <c r="Q70" s="384"/>
      <c r="R70" s="384"/>
      <c r="S70" s="384"/>
      <c r="T70" s="384">
        <v>0</v>
      </c>
      <c r="U70" s="384"/>
      <c r="V70" s="384"/>
      <c r="W70" s="384"/>
      <c r="X70" s="384"/>
      <c r="Y70" s="384">
        <v>0</v>
      </c>
      <c r="Z70" s="384"/>
      <c r="AA70" s="384"/>
      <c r="AB70" s="384"/>
      <c r="AC70" s="386"/>
      <c r="AD70" s="384">
        <v>0</v>
      </c>
      <c r="AE70" s="384"/>
      <c r="AF70" s="384"/>
      <c r="AG70" s="384"/>
      <c r="AH70" s="386"/>
      <c r="AI70" s="384">
        <v>0</v>
      </c>
      <c r="AJ70" s="384"/>
      <c r="AK70" s="384"/>
      <c r="AL70" s="384"/>
      <c r="AM70" s="386"/>
      <c r="AN70" s="384">
        <v>0</v>
      </c>
      <c r="AO70" s="384"/>
      <c r="AP70" s="384"/>
      <c r="AQ70" s="384"/>
      <c r="AR70" s="386">
        <v>0</v>
      </c>
      <c r="AS70" s="384">
        <v>36797.69</v>
      </c>
      <c r="AT70" s="384"/>
      <c r="AU70" s="384"/>
      <c r="AV70" s="384"/>
      <c r="AW70" s="386">
        <v>36797.69</v>
      </c>
      <c r="AX70" s="384">
        <f t="shared" si="55"/>
        <v>0</v>
      </c>
      <c r="AY70" s="384"/>
      <c r="AZ70" s="384"/>
      <c r="BA70" s="384"/>
      <c r="BB70" s="386"/>
      <c r="BC70" s="384">
        <f t="shared" si="46"/>
        <v>0</v>
      </c>
      <c r="BD70" s="384"/>
      <c r="BE70" s="384"/>
      <c r="BF70" s="384"/>
      <c r="BG70" s="384">
        <f t="shared" si="56"/>
        <v>0</v>
      </c>
      <c r="BH70" s="384"/>
      <c r="BI70" s="384"/>
      <c r="BJ70" s="384"/>
      <c r="BK70" s="384"/>
      <c r="BL70" s="384">
        <f t="shared" si="57"/>
        <v>0</v>
      </c>
      <c r="BM70" s="384"/>
      <c r="BN70" s="384"/>
      <c r="BO70" s="384"/>
      <c r="BP70" s="384"/>
      <c r="BQ70" s="384">
        <f t="shared" si="58"/>
        <v>0</v>
      </c>
      <c r="BR70" s="384"/>
      <c r="BS70" s="384"/>
      <c r="BT70" s="384"/>
      <c r="BU70" s="386"/>
      <c r="BV70" s="384">
        <f t="shared" si="43"/>
        <v>0</v>
      </c>
    </row>
    <row r="71" spans="1:74" ht="60.6" customHeight="1" x14ac:dyDescent="0.25">
      <c r="A71" s="382" t="s">
        <v>36</v>
      </c>
      <c r="B71" s="383" t="s">
        <v>754</v>
      </c>
      <c r="C71" s="374"/>
      <c r="D71" s="383"/>
      <c r="E71" s="384">
        <f>E72+E76+(SUM(E79:E107))</f>
        <v>91281302.520000011</v>
      </c>
      <c r="F71" s="384">
        <f t="shared" ref="F71:BC71" si="59">F72+F76+(SUM(F79:F107))</f>
        <v>13887318.26</v>
      </c>
      <c r="G71" s="384">
        <f t="shared" si="59"/>
        <v>31234100.34</v>
      </c>
      <c r="H71" s="384">
        <f t="shared" si="59"/>
        <v>4047324.79</v>
      </c>
      <c r="I71" s="384">
        <f t="shared" si="59"/>
        <v>42112559.130000003</v>
      </c>
      <c r="J71" s="384">
        <f t="shared" si="59"/>
        <v>179001.49</v>
      </c>
      <c r="K71" s="384">
        <f t="shared" si="59"/>
        <v>0</v>
      </c>
      <c r="L71" s="384">
        <f t="shared" si="59"/>
        <v>0</v>
      </c>
      <c r="M71" s="384">
        <f t="shared" si="59"/>
        <v>0</v>
      </c>
      <c r="N71" s="384">
        <f t="shared" si="59"/>
        <v>179001.49</v>
      </c>
      <c r="O71" s="384">
        <f t="shared" si="59"/>
        <v>5423650</v>
      </c>
      <c r="P71" s="384">
        <f t="shared" si="59"/>
        <v>605349.49</v>
      </c>
      <c r="Q71" s="384">
        <f t="shared" si="59"/>
        <v>1463657.39</v>
      </c>
      <c r="R71" s="384">
        <f t="shared" si="59"/>
        <v>175522.17</v>
      </c>
      <c r="S71" s="384">
        <f t="shared" si="59"/>
        <v>3179120.95</v>
      </c>
      <c r="T71" s="384">
        <f t="shared" si="59"/>
        <v>27445922.98</v>
      </c>
      <c r="U71" s="384">
        <f t="shared" si="59"/>
        <v>7377682.2800000003</v>
      </c>
      <c r="V71" s="384">
        <f t="shared" si="59"/>
        <v>17838289.280000001</v>
      </c>
      <c r="W71" s="384">
        <f t="shared" si="59"/>
        <v>2139172.27</v>
      </c>
      <c r="X71" s="384">
        <f t="shared" si="59"/>
        <v>90779.15</v>
      </c>
      <c r="Y71" s="384">
        <f t="shared" si="59"/>
        <v>35489498.719999999</v>
      </c>
      <c r="Z71" s="384">
        <f t="shared" si="59"/>
        <v>4770071.209999999</v>
      </c>
      <c r="AA71" s="384">
        <f t="shared" si="59"/>
        <v>9236314.9799999986</v>
      </c>
      <c r="AB71" s="384">
        <f t="shared" si="59"/>
        <v>1188946.94</v>
      </c>
      <c r="AC71" s="384">
        <f t="shared" si="59"/>
        <v>20294165.59</v>
      </c>
      <c r="AD71" s="384">
        <f t="shared" si="59"/>
        <v>1947506.03</v>
      </c>
      <c r="AE71" s="384">
        <f t="shared" si="59"/>
        <v>0</v>
      </c>
      <c r="AF71" s="384">
        <f t="shared" si="59"/>
        <v>0</v>
      </c>
      <c r="AG71" s="384">
        <f t="shared" si="59"/>
        <v>0</v>
      </c>
      <c r="AH71" s="384">
        <f t="shared" si="59"/>
        <v>1947506.03</v>
      </c>
      <c r="AI71" s="384">
        <f t="shared" si="59"/>
        <v>137700</v>
      </c>
      <c r="AJ71" s="384">
        <f t="shared" si="59"/>
        <v>0</v>
      </c>
      <c r="AK71" s="384">
        <f t="shared" si="59"/>
        <v>0</v>
      </c>
      <c r="AL71" s="384">
        <f t="shared" si="59"/>
        <v>0</v>
      </c>
      <c r="AM71" s="384">
        <f t="shared" si="59"/>
        <v>137700</v>
      </c>
      <c r="AN71" s="384">
        <f t="shared" si="59"/>
        <v>19544717.989999998</v>
      </c>
      <c r="AO71" s="384">
        <f t="shared" si="59"/>
        <v>1134215.2800000003</v>
      </c>
      <c r="AP71" s="384">
        <f t="shared" si="59"/>
        <v>2695838.6899999976</v>
      </c>
      <c r="AQ71" s="384">
        <f t="shared" si="59"/>
        <v>543683.41</v>
      </c>
      <c r="AR71" s="384">
        <f t="shared" si="59"/>
        <v>15170980.609999999</v>
      </c>
      <c r="AS71" s="384">
        <v>1091999.29</v>
      </c>
      <c r="AT71" s="384">
        <v>0</v>
      </c>
      <c r="AU71" s="384">
        <v>0</v>
      </c>
      <c r="AV71" s="384">
        <v>0</v>
      </c>
      <c r="AW71" s="384">
        <v>1091999.29</v>
      </c>
      <c r="AX71" s="384">
        <f t="shared" ref="AX71:BB71" si="60">AX72+AX76+(SUM(AX79:AX107))</f>
        <v>0</v>
      </c>
      <c r="AY71" s="384">
        <f t="shared" si="60"/>
        <v>0</v>
      </c>
      <c r="AZ71" s="384">
        <f t="shared" si="60"/>
        <v>0</v>
      </c>
      <c r="BA71" s="384">
        <f t="shared" si="60"/>
        <v>0</v>
      </c>
      <c r="BB71" s="384">
        <f t="shared" si="60"/>
        <v>0</v>
      </c>
      <c r="BC71" s="384">
        <f t="shared" si="59"/>
        <v>21306.020000011136</v>
      </c>
      <c r="BD71" s="384">
        <f>BD72</f>
        <v>1570</v>
      </c>
      <c r="BE71" s="384">
        <f t="shared" ref="BE71:BF71" si="61">BE72</f>
        <v>1669</v>
      </c>
      <c r="BF71" s="384">
        <f t="shared" si="61"/>
        <v>1831.6999999999998</v>
      </c>
      <c r="BG71" s="384">
        <f t="shared" ref="BG71:BV71" si="62">BG72+BG76+(SUM(BG79:BG107))</f>
        <v>0</v>
      </c>
      <c r="BH71" s="384">
        <f t="shared" si="62"/>
        <v>0</v>
      </c>
      <c r="BI71" s="384">
        <f t="shared" si="62"/>
        <v>0</v>
      </c>
      <c r="BJ71" s="384">
        <f t="shared" si="62"/>
        <v>0</v>
      </c>
      <c r="BK71" s="384">
        <f t="shared" si="62"/>
        <v>0</v>
      </c>
      <c r="BL71" s="384">
        <f t="shared" si="62"/>
        <v>21306.020000000019</v>
      </c>
      <c r="BM71" s="384">
        <f t="shared" si="62"/>
        <v>0</v>
      </c>
      <c r="BN71" s="384">
        <f t="shared" si="62"/>
        <v>0</v>
      </c>
      <c r="BO71" s="384">
        <f t="shared" si="62"/>
        <v>0</v>
      </c>
      <c r="BP71" s="384">
        <f t="shared" si="62"/>
        <v>21306.020000000019</v>
      </c>
      <c r="BQ71" s="384">
        <f t="shared" si="62"/>
        <v>0</v>
      </c>
      <c r="BR71" s="384">
        <f t="shared" si="62"/>
        <v>0</v>
      </c>
      <c r="BS71" s="384">
        <f t="shared" si="62"/>
        <v>0</v>
      </c>
      <c r="BT71" s="384">
        <f t="shared" si="62"/>
        <v>0</v>
      </c>
      <c r="BU71" s="384">
        <f t="shared" si="62"/>
        <v>0</v>
      </c>
      <c r="BV71" s="384">
        <f t="shared" si="62"/>
        <v>21306.020000011136</v>
      </c>
    </row>
    <row r="72" spans="1:74" ht="181.15" customHeight="1" x14ac:dyDescent="0.25">
      <c r="A72" s="393" t="s">
        <v>62</v>
      </c>
      <c r="B72" s="383" t="s">
        <v>32</v>
      </c>
      <c r="C72" s="366">
        <v>310</v>
      </c>
      <c r="D72" s="394" t="s">
        <v>531</v>
      </c>
      <c r="E72" s="395">
        <f>SUM(E73:E75)</f>
        <v>82686166.710000008</v>
      </c>
      <c r="F72" s="395">
        <f>SUM(F73:F75)</f>
        <v>13887318.26</v>
      </c>
      <c r="G72" s="395">
        <f t="shared" ref="G72:BQ72" si="63">SUM(G73:G75)</f>
        <v>31234100.34</v>
      </c>
      <c r="H72" s="395">
        <f t="shared" si="63"/>
        <v>4047324.79</v>
      </c>
      <c r="I72" s="395">
        <f>SUM(I73:I75)</f>
        <v>33517423.32</v>
      </c>
      <c r="J72" s="395">
        <f t="shared" si="63"/>
        <v>0</v>
      </c>
      <c r="K72" s="395">
        <f t="shared" si="63"/>
        <v>0</v>
      </c>
      <c r="L72" s="395">
        <f t="shared" si="63"/>
        <v>0</v>
      </c>
      <c r="M72" s="395">
        <f t="shared" si="63"/>
        <v>0</v>
      </c>
      <c r="N72" s="395">
        <f t="shared" si="63"/>
        <v>0</v>
      </c>
      <c r="O72" s="395">
        <f t="shared" si="63"/>
        <v>2244529.0499999998</v>
      </c>
      <c r="P72" s="395">
        <f t="shared" si="63"/>
        <v>605349.49</v>
      </c>
      <c r="Q72" s="395">
        <f t="shared" si="63"/>
        <v>1463657.39</v>
      </c>
      <c r="R72" s="395">
        <f t="shared" si="63"/>
        <v>175522.17</v>
      </c>
      <c r="S72" s="395">
        <f t="shared" si="63"/>
        <v>0</v>
      </c>
      <c r="T72" s="395">
        <f t="shared" si="63"/>
        <v>27355143.830000002</v>
      </c>
      <c r="U72" s="395">
        <f t="shared" si="63"/>
        <v>7377682.2800000003</v>
      </c>
      <c r="V72" s="395">
        <f t="shared" si="63"/>
        <v>17838289.280000001</v>
      </c>
      <c r="W72" s="395">
        <f t="shared" si="63"/>
        <v>2139172.27</v>
      </c>
      <c r="X72" s="395">
        <f t="shared" si="63"/>
        <v>0</v>
      </c>
      <c r="Y72" s="395">
        <f t="shared" si="63"/>
        <v>33543465.98</v>
      </c>
      <c r="Z72" s="395">
        <f t="shared" si="63"/>
        <v>4770071.209999999</v>
      </c>
      <c r="AA72" s="395">
        <f t="shared" si="63"/>
        <v>9236314.9799999986</v>
      </c>
      <c r="AB72" s="395">
        <f t="shared" si="63"/>
        <v>1188946.94</v>
      </c>
      <c r="AC72" s="395">
        <f t="shared" si="63"/>
        <v>18348132.850000001</v>
      </c>
      <c r="AD72" s="395">
        <f t="shared" si="63"/>
        <v>0</v>
      </c>
      <c r="AE72" s="395">
        <f t="shared" si="63"/>
        <v>0</v>
      </c>
      <c r="AF72" s="395">
        <f t="shared" si="63"/>
        <v>0</v>
      </c>
      <c r="AG72" s="395">
        <f t="shared" si="63"/>
        <v>0</v>
      </c>
      <c r="AH72" s="395">
        <f t="shared" si="63"/>
        <v>0</v>
      </c>
      <c r="AI72" s="395">
        <f t="shared" si="63"/>
        <v>0</v>
      </c>
      <c r="AJ72" s="395">
        <v>0</v>
      </c>
      <c r="AK72" s="395">
        <v>0</v>
      </c>
      <c r="AL72" s="395">
        <v>0</v>
      </c>
      <c r="AM72" s="395">
        <v>0</v>
      </c>
      <c r="AN72" s="395">
        <v>19543027.849999998</v>
      </c>
      <c r="AO72" s="395">
        <v>1134215.2800000003</v>
      </c>
      <c r="AP72" s="395">
        <v>2695838.6899999976</v>
      </c>
      <c r="AQ72" s="395">
        <v>543683.41</v>
      </c>
      <c r="AR72" s="395">
        <v>15169290.469999999</v>
      </c>
      <c r="AS72" s="395">
        <v>0</v>
      </c>
      <c r="AT72" s="395"/>
      <c r="AU72" s="395"/>
      <c r="AV72" s="395"/>
      <c r="AW72" s="395"/>
      <c r="AX72" s="395">
        <f t="shared" ref="AX72" si="64">SUM(AX73:AX75)</f>
        <v>0</v>
      </c>
      <c r="AY72" s="395"/>
      <c r="AZ72" s="395"/>
      <c r="BA72" s="395"/>
      <c r="BB72" s="395"/>
      <c r="BC72" s="395">
        <f>SUM(BC73:BC75)</f>
        <v>1.1175870895385742E-8</v>
      </c>
      <c r="BD72" s="395">
        <f>BD73+BD74</f>
        <v>1570</v>
      </c>
      <c r="BE72" s="395">
        <f>BE73+BE74</f>
        <v>1669</v>
      </c>
      <c r="BF72" s="395">
        <f>BF73+BF74</f>
        <v>1831.6999999999998</v>
      </c>
      <c r="BG72" s="395">
        <f t="shared" si="63"/>
        <v>0</v>
      </c>
      <c r="BH72" s="395"/>
      <c r="BI72" s="395"/>
      <c r="BJ72" s="395"/>
      <c r="BK72" s="395"/>
      <c r="BL72" s="395">
        <f t="shared" si="63"/>
        <v>0</v>
      </c>
      <c r="BM72" s="395">
        <f>F72-K72-P72-U72-Z72-AE72-BH72-AJ72-AO72</f>
        <v>0</v>
      </c>
      <c r="BN72" s="395">
        <f>G72-L72-Q72-V72-AA72-AF72-BI72-AK72-AP72</f>
        <v>0</v>
      </c>
      <c r="BO72" s="395">
        <f>H72-M72-R72-W72-AB72-AG72-BJ72-AL72-AQ72</f>
        <v>0</v>
      </c>
      <c r="BP72" s="395">
        <f>I72-N72-S72-X72-AC72-AH72-BK72-AM72-AR72-AW72</f>
        <v>0</v>
      </c>
      <c r="BQ72" s="395">
        <f t="shared" si="63"/>
        <v>0</v>
      </c>
      <c r="BR72" s="395"/>
      <c r="BS72" s="395"/>
      <c r="BT72" s="395"/>
      <c r="BU72" s="395"/>
      <c r="BV72" s="395">
        <f>SUM(BV73:BV75)</f>
        <v>1.1175870895385742E-8</v>
      </c>
    </row>
    <row r="73" spans="1:74" ht="21.6" customHeight="1" x14ac:dyDescent="0.25">
      <c r="A73" s="396"/>
      <c r="B73" s="383" t="s">
        <v>193</v>
      </c>
      <c r="C73" s="397"/>
      <c r="D73" s="398"/>
      <c r="E73" s="399">
        <f>F73+G73+H73+I73</f>
        <v>75681983.370000005</v>
      </c>
      <c r="F73" s="399">
        <v>12729137.57</v>
      </c>
      <c r="G73" s="399">
        <v>30726681.899999999</v>
      </c>
      <c r="H73" s="399">
        <v>3905995.92</v>
      </c>
      <c r="I73" s="399">
        <f>28296488.48+23679.5</f>
        <v>28320167.98</v>
      </c>
      <c r="J73" s="384">
        <f t="shared" si="13"/>
        <v>0</v>
      </c>
      <c r="K73" s="384"/>
      <c r="L73" s="384"/>
      <c r="M73" s="384"/>
      <c r="N73" s="384">
        <v>0</v>
      </c>
      <c r="O73" s="384">
        <f t="shared" si="14"/>
        <v>2244529.0499999998</v>
      </c>
      <c r="P73" s="384">
        <v>605349.49</v>
      </c>
      <c r="Q73" s="384">
        <v>1463657.39</v>
      </c>
      <c r="R73" s="384">
        <v>175522.17</v>
      </c>
      <c r="S73" s="384">
        <v>0</v>
      </c>
      <c r="T73" s="384">
        <f t="shared" ref="T73:T102" si="65">U73+V73+W73+X73</f>
        <v>27355143.830000002</v>
      </c>
      <c r="U73" s="384">
        <v>7377682.2800000003</v>
      </c>
      <c r="V73" s="384">
        <v>17838289.280000001</v>
      </c>
      <c r="W73" s="384">
        <v>2139172.27</v>
      </c>
      <c r="X73" s="384">
        <v>0</v>
      </c>
      <c r="Y73" s="395">
        <f t="shared" ref="Y73:Y102" si="66">Z73+AA73+AB73+AC73</f>
        <v>31736537.98</v>
      </c>
      <c r="Z73" s="384">
        <v>3611890.5199999996</v>
      </c>
      <c r="AA73" s="384">
        <v>8728896.5399999991</v>
      </c>
      <c r="AB73" s="384">
        <v>1047618.0700000001</v>
      </c>
      <c r="AC73" s="386">
        <f>16329808.66+2018324.19</f>
        <v>18348132.850000001</v>
      </c>
      <c r="AD73" s="384">
        <f>SUM(AE73:AH73)</f>
        <v>0</v>
      </c>
      <c r="AE73" s="384"/>
      <c r="AF73" s="384"/>
      <c r="AG73" s="384"/>
      <c r="AH73" s="386">
        <v>0</v>
      </c>
      <c r="AI73" s="384">
        <f>SUM(AJ73:AM73)</f>
        <v>0</v>
      </c>
      <c r="AJ73" s="384"/>
      <c r="AK73" s="384"/>
      <c r="AL73" s="384"/>
      <c r="AM73" s="386">
        <v>0</v>
      </c>
      <c r="AN73" s="384">
        <v>14345772.509999998</v>
      </c>
      <c r="AO73" s="384">
        <v>1134215.2800000003</v>
      </c>
      <c r="AP73" s="384">
        <v>2695838.6899999976</v>
      </c>
      <c r="AQ73" s="384">
        <v>543683.41</v>
      </c>
      <c r="AR73" s="386">
        <v>9972035.129999999</v>
      </c>
      <c r="AS73" s="384">
        <v>0</v>
      </c>
      <c r="AT73" s="384"/>
      <c r="AU73" s="384"/>
      <c r="AV73" s="384"/>
      <c r="AW73" s="386"/>
      <c r="AX73" s="384">
        <f>SUM(AY73:BB73)</f>
        <v>0</v>
      </c>
      <c r="AY73" s="384"/>
      <c r="AZ73" s="384"/>
      <c r="BA73" s="384"/>
      <c r="BB73" s="384"/>
      <c r="BC73" s="384">
        <f>E73-J73-O73-T73-Y73-AD73-AI73-AN73-AS73-AX73</f>
        <v>1.1175870895385742E-8</v>
      </c>
      <c r="BD73" s="384">
        <v>1519.7</v>
      </c>
      <c r="BE73" s="395">
        <v>1618.1</v>
      </c>
      <c r="BF73" s="395">
        <v>1775.84</v>
      </c>
      <c r="BG73" s="384">
        <f>SUM(BH73:BK73)</f>
        <v>0</v>
      </c>
      <c r="BH73" s="384"/>
      <c r="BI73" s="384"/>
      <c r="BJ73" s="384"/>
      <c r="BK73" s="384"/>
      <c r="BL73" s="384">
        <f t="shared" ref="BL73:BL163" si="67">BM73+BN73+BO73+BP73</f>
        <v>0</v>
      </c>
      <c r="BM73" s="384"/>
      <c r="BN73" s="384"/>
      <c r="BO73" s="384"/>
      <c r="BP73" s="384"/>
      <c r="BQ73" s="384">
        <f>SUM(BR73:BU73)</f>
        <v>0</v>
      </c>
      <c r="BR73" s="384"/>
      <c r="BS73" s="384"/>
      <c r="BT73" s="384"/>
      <c r="BU73" s="384"/>
      <c r="BV73" s="384">
        <f t="shared" ref="BV73:BV107" si="68">BC73-BQ73</f>
        <v>1.1175870895385742E-8</v>
      </c>
    </row>
    <row r="74" spans="1:74" ht="21.6" customHeight="1" x14ac:dyDescent="0.25">
      <c r="A74" s="396"/>
      <c r="B74" s="383" t="s">
        <v>194</v>
      </c>
      <c r="C74" s="397"/>
      <c r="D74" s="400"/>
      <c r="E74" s="399">
        <f>F74+G74+H74+I74</f>
        <v>1806928</v>
      </c>
      <c r="F74" s="401">
        <v>1158180.69</v>
      </c>
      <c r="G74" s="401">
        <v>507418.44</v>
      </c>
      <c r="H74" s="401">
        <v>141328.87</v>
      </c>
      <c r="I74" s="401">
        <v>0</v>
      </c>
      <c r="J74" s="384">
        <f>K74+L74+M74+N74</f>
        <v>0</v>
      </c>
      <c r="K74" s="402"/>
      <c r="L74" s="402"/>
      <c r="M74" s="402"/>
      <c r="N74" s="402">
        <v>0</v>
      </c>
      <c r="O74" s="384">
        <f t="shared" si="14"/>
        <v>0</v>
      </c>
      <c r="P74" s="384"/>
      <c r="Q74" s="384"/>
      <c r="R74" s="384"/>
      <c r="S74" s="384">
        <v>0</v>
      </c>
      <c r="T74" s="384">
        <f t="shared" si="65"/>
        <v>0</v>
      </c>
      <c r="U74" s="402"/>
      <c r="V74" s="402"/>
      <c r="W74" s="402"/>
      <c r="X74" s="402">
        <v>0</v>
      </c>
      <c r="Y74" s="395">
        <f t="shared" si="66"/>
        <v>1806928</v>
      </c>
      <c r="Z74" s="403">
        <v>1158180.69</v>
      </c>
      <c r="AA74" s="403">
        <v>507418.44</v>
      </c>
      <c r="AB74" s="403">
        <v>141328.87</v>
      </c>
      <c r="AC74" s="386">
        <v>0</v>
      </c>
      <c r="AD74" s="384">
        <f>SUM(AE74:AH74)</f>
        <v>0</v>
      </c>
      <c r="AE74" s="403"/>
      <c r="AF74" s="403"/>
      <c r="AG74" s="403"/>
      <c r="AH74" s="386">
        <v>0</v>
      </c>
      <c r="AI74" s="384">
        <f>SUM(AJ74:AM74)</f>
        <v>0</v>
      </c>
      <c r="AJ74" s="403"/>
      <c r="AK74" s="403"/>
      <c r="AL74" s="403"/>
      <c r="AM74" s="386">
        <v>0</v>
      </c>
      <c r="AN74" s="384">
        <v>0</v>
      </c>
      <c r="AO74" s="403"/>
      <c r="AP74" s="403"/>
      <c r="AQ74" s="403"/>
      <c r="AR74" s="386">
        <v>0</v>
      </c>
      <c r="AS74" s="384">
        <v>0</v>
      </c>
      <c r="AT74" s="403"/>
      <c r="AU74" s="403"/>
      <c r="AV74" s="403"/>
      <c r="AW74" s="386"/>
      <c r="AX74" s="384">
        <f>SUM(AY74:BB74)</f>
        <v>0</v>
      </c>
      <c r="AY74" s="403"/>
      <c r="AZ74" s="403"/>
      <c r="BA74" s="403"/>
      <c r="BB74" s="384"/>
      <c r="BC74" s="384">
        <f t="shared" ref="BC74:BC107" si="69">E74-J74-O74-T74-Y74-AD74-AI74-AN74-AS74-AX74</f>
        <v>0</v>
      </c>
      <c r="BD74" s="384">
        <v>50.3</v>
      </c>
      <c r="BE74" s="395">
        <v>50.9</v>
      </c>
      <c r="BF74" s="395">
        <v>55.86</v>
      </c>
      <c r="BG74" s="384">
        <f t="shared" ref="BG74:BG96" si="70">SUM(BH74:BK74)</f>
        <v>0</v>
      </c>
      <c r="BH74" s="384"/>
      <c r="BI74" s="384"/>
      <c r="BJ74" s="384"/>
      <c r="BK74" s="384"/>
      <c r="BL74" s="384">
        <f>BM74+BN74+BO74+BP74</f>
        <v>0</v>
      </c>
      <c r="BM74" s="384"/>
      <c r="BN74" s="384"/>
      <c r="BO74" s="384"/>
      <c r="BP74" s="384"/>
      <c r="BQ74" s="384">
        <f>SUM(BR74:BU74)</f>
        <v>0</v>
      </c>
      <c r="BR74" s="403"/>
      <c r="BS74" s="403"/>
      <c r="BT74" s="403"/>
      <c r="BU74" s="384"/>
      <c r="BV74" s="384">
        <f t="shared" si="68"/>
        <v>0</v>
      </c>
    </row>
    <row r="75" spans="1:74" ht="409.15" customHeight="1" x14ac:dyDescent="0.25">
      <c r="A75" s="404"/>
      <c r="B75" s="383" t="s">
        <v>193</v>
      </c>
      <c r="C75" s="373"/>
      <c r="D75" s="405" t="s">
        <v>755</v>
      </c>
      <c r="E75" s="395">
        <f>F75+G75+H75+I75</f>
        <v>5197255.34</v>
      </c>
      <c r="F75" s="406">
        <v>0</v>
      </c>
      <c r="G75" s="406">
        <v>0</v>
      </c>
      <c r="H75" s="406">
        <v>0</v>
      </c>
      <c r="I75" s="406">
        <v>5197255.34</v>
      </c>
      <c r="J75" s="384">
        <f>K75+L75+M75+N75</f>
        <v>0</v>
      </c>
      <c r="K75" s="406"/>
      <c r="L75" s="406"/>
      <c r="M75" s="406"/>
      <c r="N75" s="406">
        <v>0</v>
      </c>
      <c r="O75" s="384">
        <f t="shared" si="14"/>
        <v>0</v>
      </c>
      <c r="P75" s="395"/>
      <c r="Q75" s="395"/>
      <c r="R75" s="395"/>
      <c r="S75" s="395">
        <v>0</v>
      </c>
      <c r="T75" s="384">
        <f t="shared" si="65"/>
        <v>0</v>
      </c>
      <c r="U75" s="406"/>
      <c r="V75" s="406"/>
      <c r="W75" s="406"/>
      <c r="X75" s="406">
        <v>0</v>
      </c>
      <c r="Y75" s="395">
        <f t="shared" si="66"/>
        <v>0</v>
      </c>
      <c r="Z75" s="403"/>
      <c r="AA75" s="403"/>
      <c r="AB75" s="403"/>
      <c r="AC75" s="386">
        <v>0</v>
      </c>
      <c r="AD75" s="384">
        <f>SUM(AE75:AH75)</f>
        <v>0</v>
      </c>
      <c r="AE75" s="403"/>
      <c r="AF75" s="403"/>
      <c r="AG75" s="403"/>
      <c r="AH75" s="386">
        <v>0</v>
      </c>
      <c r="AI75" s="384">
        <f>SUM(AJ75:AM75)</f>
        <v>0</v>
      </c>
      <c r="AJ75" s="403"/>
      <c r="AK75" s="403"/>
      <c r="AL75" s="403"/>
      <c r="AM75" s="386">
        <v>0</v>
      </c>
      <c r="AN75" s="384">
        <v>5197255.34</v>
      </c>
      <c r="AO75" s="403"/>
      <c r="AP75" s="403"/>
      <c r="AQ75" s="403"/>
      <c r="AR75" s="386">
        <v>5197255.34</v>
      </c>
      <c r="AS75" s="384">
        <v>0</v>
      </c>
      <c r="AT75" s="403"/>
      <c r="AU75" s="403"/>
      <c r="AV75" s="403"/>
      <c r="AW75" s="386"/>
      <c r="AX75" s="384">
        <f>SUM(AY75:BB75)</f>
        <v>0</v>
      </c>
      <c r="AY75" s="403"/>
      <c r="AZ75" s="403"/>
      <c r="BA75" s="403"/>
      <c r="BB75" s="384"/>
      <c r="BC75" s="384">
        <f t="shared" si="69"/>
        <v>0</v>
      </c>
      <c r="BD75" s="395">
        <v>1519.7</v>
      </c>
      <c r="BE75" s="395">
        <v>1618.1</v>
      </c>
      <c r="BF75" s="395">
        <v>1775.84</v>
      </c>
      <c r="BG75" s="384">
        <f t="shared" si="70"/>
        <v>0</v>
      </c>
      <c r="BH75" s="384"/>
      <c r="BI75" s="384"/>
      <c r="BJ75" s="384"/>
      <c r="BK75" s="384"/>
      <c r="BL75" s="384">
        <f>BM75+BN75+BO75+BP75</f>
        <v>0</v>
      </c>
      <c r="BM75" s="384"/>
      <c r="BN75" s="384"/>
      <c r="BO75" s="384"/>
      <c r="BP75" s="384"/>
      <c r="BQ75" s="384">
        <f>SUM(BR75:BU75)</f>
        <v>0</v>
      </c>
      <c r="BR75" s="403"/>
      <c r="BS75" s="403"/>
      <c r="BT75" s="403"/>
      <c r="BU75" s="384"/>
      <c r="BV75" s="384">
        <f t="shared" si="68"/>
        <v>0</v>
      </c>
    </row>
    <row r="76" spans="1:74" ht="36" customHeight="1" x14ac:dyDescent="0.25">
      <c r="A76" s="393" t="s">
        <v>63</v>
      </c>
      <c r="B76" s="383" t="s">
        <v>32</v>
      </c>
      <c r="C76" s="366">
        <v>310</v>
      </c>
      <c r="D76" s="394" t="s">
        <v>532</v>
      </c>
      <c r="E76" s="395">
        <f>SUM(E77:E78)</f>
        <v>1816954.97</v>
      </c>
      <c r="F76" s="395">
        <f>SUM(F77:F78)</f>
        <v>0</v>
      </c>
      <c r="G76" s="395">
        <f>SUM(G77:G78)</f>
        <v>0</v>
      </c>
      <c r="H76" s="395">
        <f>SUM(H77:H78)</f>
        <v>0</v>
      </c>
      <c r="I76" s="395">
        <f>SUM(I77:I78)</f>
        <v>1816954.97</v>
      </c>
      <c r="J76" s="384">
        <f t="shared" si="13"/>
        <v>0</v>
      </c>
      <c r="K76" s="395"/>
      <c r="L76" s="395"/>
      <c r="M76" s="395"/>
      <c r="N76" s="395"/>
      <c r="O76" s="384">
        <f t="shared" si="14"/>
        <v>0</v>
      </c>
      <c r="P76" s="395">
        <f>SUM(P77:P78)</f>
        <v>0</v>
      </c>
      <c r="Q76" s="395">
        <f>SUM(Q77:Q78)</f>
        <v>0</v>
      </c>
      <c r="R76" s="395">
        <f>SUM(R77:R78)</f>
        <v>0</v>
      </c>
      <c r="S76" s="395">
        <f>SUM(S77:S78)</f>
        <v>0</v>
      </c>
      <c r="T76" s="384">
        <f t="shared" si="65"/>
        <v>0</v>
      </c>
      <c r="U76" s="395">
        <f>SUM(U77:U78)</f>
        <v>0</v>
      </c>
      <c r="V76" s="395">
        <f>SUM(V77:V78)</f>
        <v>0</v>
      </c>
      <c r="W76" s="395">
        <f>SUM(W77:W78)</f>
        <v>0</v>
      </c>
      <c r="X76" s="395">
        <f>SUM(X77:X78)</f>
        <v>0</v>
      </c>
      <c r="Y76" s="395">
        <f t="shared" si="66"/>
        <v>1080554.99</v>
      </c>
      <c r="Z76" s="384">
        <f t="shared" ref="Z76:AH76" si="71">SUM(Z77:Z78)</f>
        <v>0</v>
      </c>
      <c r="AA76" s="384">
        <f t="shared" si="71"/>
        <v>0</v>
      </c>
      <c r="AB76" s="384">
        <f t="shared" si="71"/>
        <v>0</v>
      </c>
      <c r="AC76" s="386">
        <f t="shared" si="71"/>
        <v>1080554.99</v>
      </c>
      <c r="AD76" s="384">
        <f t="shared" si="71"/>
        <v>736399.98</v>
      </c>
      <c r="AE76" s="384">
        <f t="shared" si="71"/>
        <v>0</v>
      </c>
      <c r="AF76" s="384">
        <f t="shared" si="71"/>
        <v>0</v>
      </c>
      <c r="AG76" s="384">
        <f t="shared" si="71"/>
        <v>0</v>
      </c>
      <c r="AH76" s="386">
        <f t="shared" si="71"/>
        <v>736399.98</v>
      </c>
      <c r="AI76" s="384">
        <f>SUM(AI77:AI78)</f>
        <v>0</v>
      </c>
      <c r="AJ76" s="384">
        <v>0</v>
      </c>
      <c r="AK76" s="384">
        <v>0</v>
      </c>
      <c r="AL76" s="384">
        <v>0</v>
      </c>
      <c r="AM76" s="386">
        <v>0</v>
      </c>
      <c r="AN76" s="384">
        <v>0</v>
      </c>
      <c r="AO76" s="384"/>
      <c r="AP76" s="384"/>
      <c r="AQ76" s="384"/>
      <c r="AR76" s="386"/>
      <c r="AS76" s="384">
        <v>0</v>
      </c>
      <c r="AT76" s="384"/>
      <c r="AU76" s="384"/>
      <c r="AV76" s="384"/>
      <c r="AW76" s="386"/>
      <c r="AX76" s="384">
        <f>SUM(AX77:AX78)</f>
        <v>0</v>
      </c>
      <c r="AY76" s="384"/>
      <c r="AZ76" s="384"/>
      <c r="BA76" s="384"/>
      <c r="BB76" s="386"/>
      <c r="BC76" s="384">
        <f t="shared" si="69"/>
        <v>0</v>
      </c>
      <c r="BD76" s="395">
        <f>BD77</f>
        <v>1519.7</v>
      </c>
      <c r="BE76" s="395">
        <v>1618.1</v>
      </c>
      <c r="BF76" s="395">
        <v>1775.84</v>
      </c>
      <c r="BG76" s="384">
        <f>SUM(BG77:BG78)</f>
        <v>0</v>
      </c>
      <c r="BH76" s="384"/>
      <c r="BI76" s="384"/>
      <c r="BJ76" s="384"/>
      <c r="BK76" s="384"/>
      <c r="BL76" s="384">
        <f t="shared" si="67"/>
        <v>0</v>
      </c>
      <c r="BM76" s="384"/>
      <c r="BN76" s="384"/>
      <c r="BO76" s="384"/>
      <c r="BP76" s="384"/>
      <c r="BQ76" s="384">
        <f>SUM(BQ77:BQ78)</f>
        <v>0</v>
      </c>
      <c r="BR76" s="384"/>
      <c r="BS76" s="384"/>
      <c r="BT76" s="384"/>
      <c r="BU76" s="386"/>
      <c r="BV76" s="384">
        <f t="shared" si="68"/>
        <v>0</v>
      </c>
    </row>
    <row r="77" spans="1:74" ht="20.45" customHeight="1" x14ac:dyDescent="0.25">
      <c r="A77" s="396"/>
      <c r="B77" s="383" t="s">
        <v>193</v>
      </c>
      <c r="C77" s="397"/>
      <c r="D77" s="398"/>
      <c r="E77" s="399">
        <f t="shared" ref="E77:E107" si="72">F77+G77+H77+I77</f>
        <v>1816954.97</v>
      </c>
      <c r="F77" s="399">
        <v>0</v>
      </c>
      <c r="G77" s="399">
        <v>0</v>
      </c>
      <c r="H77" s="399">
        <v>0</v>
      </c>
      <c r="I77" s="399">
        <v>1816954.97</v>
      </c>
      <c r="J77" s="384">
        <f t="shared" si="13"/>
        <v>0</v>
      </c>
      <c r="K77" s="384"/>
      <c r="L77" s="384"/>
      <c r="M77" s="384"/>
      <c r="N77" s="384"/>
      <c r="O77" s="384">
        <f t="shared" si="14"/>
        <v>0</v>
      </c>
      <c r="P77" s="384"/>
      <c r="Q77" s="384"/>
      <c r="R77" s="384"/>
      <c r="S77" s="384"/>
      <c r="T77" s="384">
        <f t="shared" si="65"/>
        <v>0</v>
      </c>
      <c r="U77" s="384"/>
      <c r="V77" s="384"/>
      <c r="W77" s="384"/>
      <c r="X77" s="384"/>
      <c r="Y77" s="395">
        <f t="shared" si="66"/>
        <v>1080554.99</v>
      </c>
      <c r="Z77" s="384">
        <v>0</v>
      </c>
      <c r="AA77" s="384">
        <v>0</v>
      </c>
      <c r="AB77" s="384">
        <v>0</v>
      </c>
      <c r="AC77" s="384">
        <v>1080554.99</v>
      </c>
      <c r="AD77" s="384">
        <f t="shared" ref="AD77:AD95" si="73">SUM(AE77:AH77)</f>
        <v>736399.98</v>
      </c>
      <c r="AE77" s="384"/>
      <c r="AF77" s="384"/>
      <c r="AG77" s="384"/>
      <c r="AH77" s="384">
        <v>736399.98</v>
      </c>
      <c r="AI77" s="384">
        <f t="shared" ref="AI77:AI95" si="74">SUM(AJ77:AM77)</f>
        <v>0</v>
      </c>
      <c r="AJ77" s="384"/>
      <c r="AK77" s="384"/>
      <c r="AL77" s="384"/>
      <c r="AM77" s="384"/>
      <c r="AN77" s="384">
        <v>0</v>
      </c>
      <c r="AO77" s="384"/>
      <c r="AP77" s="384"/>
      <c r="AQ77" s="384"/>
      <c r="AR77" s="384"/>
      <c r="AS77" s="384">
        <v>0</v>
      </c>
      <c r="AT77" s="384"/>
      <c r="AU77" s="384"/>
      <c r="AV77" s="384"/>
      <c r="AW77" s="384"/>
      <c r="AX77" s="384">
        <f t="shared" ref="AX77:AX95" si="75">SUM(AY77:BB77)</f>
        <v>0</v>
      </c>
      <c r="AY77" s="384"/>
      <c r="AZ77" s="384"/>
      <c r="BA77" s="384"/>
      <c r="BB77" s="384"/>
      <c r="BC77" s="384">
        <f t="shared" si="69"/>
        <v>0</v>
      </c>
      <c r="BD77" s="395">
        <v>1519.7</v>
      </c>
      <c r="BE77" s="395">
        <v>1618.1</v>
      </c>
      <c r="BF77" s="395">
        <v>1775.84</v>
      </c>
      <c r="BG77" s="384">
        <f>SUM(BH77:BK77)</f>
        <v>0</v>
      </c>
      <c r="BH77" s="384"/>
      <c r="BI77" s="384"/>
      <c r="BJ77" s="384"/>
      <c r="BK77" s="384"/>
      <c r="BL77" s="384">
        <f t="shared" si="67"/>
        <v>0</v>
      </c>
      <c r="BM77" s="384"/>
      <c r="BN77" s="384"/>
      <c r="BO77" s="384"/>
      <c r="BP77" s="384"/>
      <c r="BQ77" s="384">
        <f t="shared" ref="BQ77:BQ95" si="76">SUM(BR77:BU77)</f>
        <v>0</v>
      </c>
      <c r="BR77" s="384"/>
      <c r="BS77" s="384"/>
      <c r="BT77" s="384"/>
      <c r="BU77" s="384"/>
      <c r="BV77" s="384">
        <f t="shared" si="68"/>
        <v>0</v>
      </c>
    </row>
    <row r="78" spans="1:74" ht="20.45" customHeight="1" x14ac:dyDescent="0.25">
      <c r="A78" s="404"/>
      <c r="B78" s="383" t="s">
        <v>194</v>
      </c>
      <c r="C78" s="373"/>
      <c r="D78" s="400"/>
      <c r="E78" s="399">
        <f t="shared" si="72"/>
        <v>0</v>
      </c>
      <c r="F78" s="401">
        <v>0</v>
      </c>
      <c r="G78" s="401">
        <v>0</v>
      </c>
      <c r="H78" s="401">
        <v>0</v>
      </c>
      <c r="I78" s="401">
        <v>0</v>
      </c>
      <c r="J78" s="384">
        <f t="shared" si="13"/>
        <v>0</v>
      </c>
      <c r="K78" s="402"/>
      <c r="L78" s="402"/>
      <c r="M78" s="402"/>
      <c r="N78" s="402"/>
      <c r="O78" s="384">
        <f t="shared" si="14"/>
        <v>0</v>
      </c>
      <c r="P78" s="384"/>
      <c r="Q78" s="384"/>
      <c r="R78" s="384"/>
      <c r="S78" s="384"/>
      <c r="T78" s="384">
        <f t="shared" si="65"/>
        <v>0</v>
      </c>
      <c r="U78" s="402"/>
      <c r="V78" s="402"/>
      <c r="W78" s="402"/>
      <c r="X78" s="402"/>
      <c r="Y78" s="395">
        <f t="shared" si="66"/>
        <v>0</v>
      </c>
      <c r="Z78" s="384">
        <v>0</v>
      </c>
      <c r="AA78" s="384">
        <v>0</v>
      </c>
      <c r="AB78" s="384">
        <v>0</v>
      </c>
      <c r="AC78" s="384">
        <v>0</v>
      </c>
      <c r="AD78" s="384">
        <f t="shared" si="73"/>
        <v>0</v>
      </c>
      <c r="AE78" s="384"/>
      <c r="AF78" s="384"/>
      <c r="AG78" s="384"/>
      <c r="AH78" s="384"/>
      <c r="AI78" s="384">
        <f t="shared" si="74"/>
        <v>0</v>
      </c>
      <c r="AJ78" s="384"/>
      <c r="AK78" s="384"/>
      <c r="AL78" s="384"/>
      <c r="AM78" s="384"/>
      <c r="AN78" s="384">
        <v>0</v>
      </c>
      <c r="AO78" s="384"/>
      <c r="AP78" s="384"/>
      <c r="AQ78" s="384"/>
      <c r="AR78" s="384"/>
      <c r="AS78" s="384">
        <v>0</v>
      </c>
      <c r="AT78" s="384"/>
      <c r="AU78" s="384"/>
      <c r="AV78" s="384"/>
      <c r="AW78" s="384"/>
      <c r="AX78" s="384">
        <f t="shared" si="75"/>
        <v>0</v>
      </c>
      <c r="AY78" s="384"/>
      <c r="AZ78" s="384"/>
      <c r="BA78" s="384"/>
      <c r="BB78" s="384"/>
      <c r="BC78" s="384">
        <f t="shared" si="69"/>
        <v>0</v>
      </c>
      <c r="BD78" s="384"/>
      <c r="BE78" s="395"/>
      <c r="BF78" s="395"/>
      <c r="BG78" s="384">
        <f>SUM(BH78:BK78)</f>
        <v>0</v>
      </c>
      <c r="BH78" s="384"/>
      <c r="BI78" s="384"/>
      <c r="BJ78" s="384"/>
      <c r="BK78" s="384"/>
      <c r="BL78" s="384">
        <f t="shared" si="67"/>
        <v>0</v>
      </c>
      <c r="BM78" s="384"/>
      <c r="BN78" s="384"/>
      <c r="BO78" s="384"/>
      <c r="BP78" s="384"/>
      <c r="BQ78" s="384">
        <f t="shared" si="76"/>
        <v>0</v>
      </c>
      <c r="BR78" s="384"/>
      <c r="BS78" s="384"/>
      <c r="BT78" s="384"/>
      <c r="BU78" s="384"/>
      <c r="BV78" s="384">
        <f t="shared" si="68"/>
        <v>0</v>
      </c>
    </row>
    <row r="79" spans="1:74" ht="31.15" customHeight="1" x14ac:dyDescent="0.25">
      <c r="A79" s="382" t="s">
        <v>64</v>
      </c>
      <c r="B79" s="383" t="s">
        <v>10</v>
      </c>
      <c r="C79" s="374">
        <v>226</v>
      </c>
      <c r="D79" s="387" t="s">
        <v>513</v>
      </c>
      <c r="E79" s="384">
        <f t="shared" si="72"/>
        <v>3340</v>
      </c>
      <c r="F79" s="384"/>
      <c r="G79" s="384"/>
      <c r="H79" s="384"/>
      <c r="I79" s="384">
        <v>3340</v>
      </c>
      <c r="J79" s="384">
        <f t="shared" si="13"/>
        <v>3340</v>
      </c>
      <c r="K79" s="384"/>
      <c r="L79" s="384"/>
      <c r="M79" s="384"/>
      <c r="N79" s="384">
        <v>3340</v>
      </c>
      <c r="O79" s="384">
        <f t="shared" si="14"/>
        <v>0</v>
      </c>
      <c r="P79" s="384"/>
      <c r="Q79" s="384"/>
      <c r="R79" s="384"/>
      <c r="S79" s="384"/>
      <c r="T79" s="384">
        <f t="shared" si="65"/>
        <v>0</v>
      </c>
      <c r="U79" s="384"/>
      <c r="V79" s="384"/>
      <c r="W79" s="384"/>
      <c r="X79" s="384"/>
      <c r="Y79" s="395">
        <f t="shared" si="66"/>
        <v>0</v>
      </c>
      <c r="Z79" s="384"/>
      <c r="AA79" s="384"/>
      <c r="AB79" s="384"/>
      <c r="AC79" s="386"/>
      <c r="AD79" s="384">
        <f t="shared" si="73"/>
        <v>0</v>
      </c>
      <c r="AE79" s="384"/>
      <c r="AF79" s="384"/>
      <c r="AG79" s="384"/>
      <c r="AH79" s="386"/>
      <c r="AI79" s="384">
        <f t="shared" si="74"/>
        <v>0</v>
      </c>
      <c r="AJ79" s="384"/>
      <c r="AK79" s="384"/>
      <c r="AL79" s="384"/>
      <c r="AM79" s="386"/>
      <c r="AN79" s="384">
        <v>0</v>
      </c>
      <c r="AO79" s="384"/>
      <c r="AP79" s="384"/>
      <c r="AQ79" s="384"/>
      <c r="AR79" s="386"/>
      <c r="AS79" s="384">
        <v>0</v>
      </c>
      <c r="AT79" s="384"/>
      <c r="AU79" s="384"/>
      <c r="AV79" s="384"/>
      <c r="AW79" s="386"/>
      <c r="AX79" s="384">
        <f t="shared" si="75"/>
        <v>0</v>
      </c>
      <c r="AY79" s="384"/>
      <c r="AZ79" s="384"/>
      <c r="BA79" s="384"/>
      <c r="BB79" s="386"/>
      <c r="BC79" s="384">
        <f t="shared" si="69"/>
        <v>0</v>
      </c>
      <c r="BD79" s="384"/>
      <c r="BE79" s="384"/>
      <c r="BF79" s="384"/>
      <c r="BG79" s="384">
        <f t="shared" si="70"/>
        <v>0</v>
      </c>
      <c r="BH79" s="384"/>
      <c r="BI79" s="384"/>
      <c r="BJ79" s="384"/>
      <c r="BK79" s="384"/>
      <c r="BL79" s="384">
        <f t="shared" si="67"/>
        <v>0</v>
      </c>
      <c r="BM79" s="384"/>
      <c r="BN79" s="384"/>
      <c r="BO79" s="384"/>
      <c r="BP79" s="384"/>
      <c r="BQ79" s="384">
        <f t="shared" si="76"/>
        <v>0</v>
      </c>
      <c r="BR79" s="384"/>
      <c r="BS79" s="384"/>
      <c r="BT79" s="384"/>
      <c r="BU79" s="386"/>
      <c r="BV79" s="384">
        <f t="shared" si="68"/>
        <v>0</v>
      </c>
    </row>
    <row r="80" spans="1:74" ht="42.6" customHeight="1" x14ac:dyDescent="0.25">
      <c r="A80" s="382" t="s">
        <v>65</v>
      </c>
      <c r="B80" s="383" t="s">
        <v>1</v>
      </c>
      <c r="C80" s="374">
        <v>226</v>
      </c>
      <c r="D80" s="387" t="s">
        <v>533</v>
      </c>
      <c r="E80" s="384">
        <f t="shared" si="72"/>
        <v>175661.49</v>
      </c>
      <c r="F80" s="384"/>
      <c r="G80" s="384"/>
      <c r="H80" s="384"/>
      <c r="I80" s="384">
        <v>175661.49</v>
      </c>
      <c r="J80" s="384">
        <f t="shared" si="13"/>
        <v>175661.49</v>
      </c>
      <c r="K80" s="384"/>
      <c r="L80" s="384"/>
      <c r="M80" s="384"/>
      <c r="N80" s="384">
        <v>175661.49</v>
      </c>
      <c r="O80" s="384">
        <f t="shared" si="14"/>
        <v>0</v>
      </c>
      <c r="P80" s="384"/>
      <c r="Q80" s="384"/>
      <c r="R80" s="384"/>
      <c r="S80" s="384"/>
      <c r="T80" s="384">
        <f t="shared" si="65"/>
        <v>0</v>
      </c>
      <c r="U80" s="384"/>
      <c r="V80" s="384"/>
      <c r="W80" s="384"/>
      <c r="X80" s="384"/>
      <c r="Y80" s="395">
        <f t="shared" si="66"/>
        <v>0</v>
      </c>
      <c r="Z80" s="384"/>
      <c r="AA80" s="384"/>
      <c r="AB80" s="384"/>
      <c r="AC80" s="386"/>
      <c r="AD80" s="384">
        <f t="shared" si="73"/>
        <v>0</v>
      </c>
      <c r="AE80" s="384"/>
      <c r="AF80" s="384"/>
      <c r="AG80" s="384"/>
      <c r="AH80" s="386"/>
      <c r="AI80" s="384">
        <f t="shared" si="74"/>
        <v>0</v>
      </c>
      <c r="AJ80" s="384"/>
      <c r="AK80" s="384"/>
      <c r="AL80" s="384"/>
      <c r="AM80" s="386"/>
      <c r="AN80" s="384">
        <v>0</v>
      </c>
      <c r="AO80" s="384"/>
      <c r="AP80" s="384"/>
      <c r="AQ80" s="384"/>
      <c r="AR80" s="386"/>
      <c r="AS80" s="384">
        <v>0</v>
      </c>
      <c r="AT80" s="384"/>
      <c r="AU80" s="384"/>
      <c r="AV80" s="384"/>
      <c r="AW80" s="386"/>
      <c r="AX80" s="384">
        <f t="shared" si="75"/>
        <v>0</v>
      </c>
      <c r="AY80" s="384"/>
      <c r="AZ80" s="384"/>
      <c r="BA80" s="384"/>
      <c r="BB80" s="386"/>
      <c r="BC80" s="384">
        <f t="shared" si="69"/>
        <v>0</v>
      </c>
      <c r="BD80" s="384"/>
      <c r="BE80" s="384"/>
      <c r="BF80" s="384"/>
      <c r="BG80" s="384">
        <f t="shared" si="70"/>
        <v>0</v>
      </c>
      <c r="BH80" s="384"/>
      <c r="BI80" s="384"/>
      <c r="BJ80" s="384"/>
      <c r="BK80" s="384"/>
      <c r="BL80" s="384">
        <f t="shared" si="67"/>
        <v>0</v>
      </c>
      <c r="BM80" s="384"/>
      <c r="BN80" s="384"/>
      <c r="BO80" s="384"/>
      <c r="BP80" s="384"/>
      <c r="BQ80" s="384">
        <f t="shared" si="76"/>
        <v>0</v>
      </c>
      <c r="BR80" s="384"/>
      <c r="BS80" s="384"/>
      <c r="BT80" s="384"/>
      <c r="BU80" s="386"/>
      <c r="BV80" s="384">
        <f t="shared" si="68"/>
        <v>0</v>
      </c>
    </row>
    <row r="81" spans="1:74" ht="27" customHeight="1" x14ac:dyDescent="0.25">
      <c r="A81" s="382" t="s">
        <v>66</v>
      </c>
      <c r="B81" s="383" t="s">
        <v>1</v>
      </c>
      <c r="C81" s="374">
        <v>226</v>
      </c>
      <c r="D81" s="387" t="s">
        <v>534</v>
      </c>
      <c r="E81" s="384">
        <f t="shared" si="72"/>
        <v>19644.400000000001</v>
      </c>
      <c r="F81" s="384"/>
      <c r="G81" s="384"/>
      <c r="H81" s="384"/>
      <c r="I81" s="384">
        <v>19644.400000000001</v>
      </c>
      <c r="J81" s="384">
        <f t="shared" si="13"/>
        <v>0</v>
      </c>
      <c r="K81" s="384"/>
      <c r="L81" s="384"/>
      <c r="M81" s="384"/>
      <c r="N81" s="384"/>
      <c r="O81" s="384">
        <f t="shared" si="14"/>
        <v>19644.400000000001</v>
      </c>
      <c r="P81" s="384"/>
      <c r="Q81" s="384"/>
      <c r="R81" s="384"/>
      <c r="S81" s="384">
        <v>19644.400000000001</v>
      </c>
      <c r="T81" s="384">
        <f t="shared" si="65"/>
        <v>0</v>
      </c>
      <c r="U81" s="384"/>
      <c r="V81" s="384"/>
      <c r="W81" s="384"/>
      <c r="X81" s="384"/>
      <c r="Y81" s="395">
        <f t="shared" si="66"/>
        <v>0</v>
      </c>
      <c r="Z81" s="384"/>
      <c r="AA81" s="384"/>
      <c r="AB81" s="384"/>
      <c r="AC81" s="386"/>
      <c r="AD81" s="384">
        <f t="shared" si="73"/>
        <v>0</v>
      </c>
      <c r="AE81" s="384"/>
      <c r="AF81" s="384"/>
      <c r="AG81" s="384"/>
      <c r="AH81" s="386"/>
      <c r="AI81" s="384">
        <f t="shared" si="74"/>
        <v>0</v>
      </c>
      <c r="AJ81" s="384"/>
      <c r="AK81" s="384"/>
      <c r="AL81" s="384"/>
      <c r="AM81" s="386"/>
      <c r="AN81" s="384">
        <v>0</v>
      </c>
      <c r="AO81" s="384"/>
      <c r="AP81" s="384"/>
      <c r="AQ81" s="384"/>
      <c r="AR81" s="386"/>
      <c r="AS81" s="384">
        <v>0</v>
      </c>
      <c r="AT81" s="384"/>
      <c r="AU81" s="384"/>
      <c r="AV81" s="384"/>
      <c r="AW81" s="386"/>
      <c r="AX81" s="384">
        <f t="shared" si="75"/>
        <v>0</v>
      </c>
      <c r="AY81" s="384"/>
      <c r="AZ81" s="384"/>
      <c r="BA81" s="384"/>
      <c r="BB81" s="386"/>
      <c r="BC81" s="384">
        <f t="shared" si="69"/>
        <v>0</v>
      </c>
      <c r="BD81" s="384"/>
      <c r="BE81" s="384"/>
      <c r="BF81" s="384"/>
      <c r="BG81" s="384">
        <f t="shared" si="70"/>
        <v>0</v>
      </c>
      <c r="BH81" s="384"/>
      <c r="BI81" s="384"/>
      <c r="BJ81" s="384"/>
      <c r="BK81" s="384"/>
      <c r="BL81" s="384">
        <f t="shared" si="67"/>
        <v>0</v>
      </c>
      <c r="BM81" s="384"/>
      <c r="BN81" s="384"/>
      <c r="BO81" s="384"/>
      <c r="BP81" s="384"/>
      <c r="BQ81" s="384">
        <f t="shared" si="76"/>
        <v>0</v>
      </c>
      <c r="BR81" s="384"/>
      <c r="BS81" s="384"/>
      <c r="BT81" s="384"/>
      <c r="BU81" s="386"/>
      <c r="BV81" s="384">
        <f t="shared" si="68"/>
        <v>0</v>
      </c>
    </row>
    <row r="82" spans="1:74" ht="31.5" x14ac:dyDescent="0.25">
      <c r="A82" s="382" t="s">
        <v>67</v>
      </c>
      <c r="B82" s="383" t="s">
        <v>378</v>
      </c>
      <c r="C82" s="374">
        <v>226</v>
      </c>
      <c r="D82" s="387" t="s">
        <v>493</v>
      </c>
      <c r="E82" s="384">
        <f t="shared" si="72"/>
        <v>19869</v>
      </c>
      <c r="F82" s="384"/>
      <c r="G82" s="384"/>
      <c r="H82" s="384"/>
      <c r="I82" s="384">
        <v>19869</v>
      </c>
      <c r="J82" s="384">
        <f t="shared" si="13"/>
        <v>0</v>
      </c>
      <c r="K82" s="384"/>
      <c r="L82" s="384"/>
      <c r="M82" s="384"/>
      <c r="N82" s="384"/>
      <c r="O82" s="384">
        <f t="shared" si="14"/>
        <v>0</v>
      </c>
      <c r="P82" s="384"/>
      <c r="Q82" s="384"/>
      <c r="R82" s="384"/>
      <c r="S82" s="384"/>
      <c r="T82" s="384">
        <f t="shared" si="65"/>
        <v>0</v>
      </c>
      <c r="U82" s="384"/>
      <c r="V82" s="384"/>
      <c r="W82" s="384"/>
      <c r="X82" s="384"/>
      <c r="Y82" s="395">
        <f t="shared" si="66"/>
        <v>19869</v>
      </c>
      <c r="Z82" s="384"/>
      <c r="AA82" s="384"/>
      <c r="AB82" s="384"/>
      <c r="AC82" s="386">
        <v>19869</v>
      </c>
      <c r="AD82" s="384">
        <f t="shared" si="73"/>
        <v>0</v>
      </c>
      <c r="AE82" s="384"/>
      <c r="AF82" s="384"/>
      <c r="AG82" s="384"/>
      <c r="AH82" s="386"/>
      <c r="AI82" s="384">
        <f t="shared" si="74"/>
        <v>0</v>
      </c>
      <c r="AJ82" s="384"/>
      <c r="AK82" s="384"/>
      <c r="AL82" s="384"/>
      <c r="AM82" s="386"/>
      <c r="AN82" s="384">
        <v>0</v>
      </c>
      <c r="AO82" s="384"/>
      <c r="AP82" s="384"/>
      <c r="AQ82" s="384"/>
      <c r="AR82" s="386"/>
      <c r="AS82" s="384">
        <v>0</v>
      </c>
      <c r="AT82" s="384"/>
      <c r="AU82" s="384"/>
      <c r="AV82" s="384"/>
      <c r="AW82" s="386"/>
      <c r="AX82" s="384">
        <f t="shared" si="75"/>
        <v>0</v>
      </c>
      <c r="AY82" s="384"/>
      <c r="AZ82" s="384"/>
      <c r="BA82" s="384"/>
      <c r="BB82" s="386"/>
      <c r="BC82" s="384">
        <f t="shared" si="69"/>
        <v>0</v>
      </c>
      <c r="BD82" s="384"/>
      <c r="BE82" s="384"/>
      <c r="BF82" s="384"/>
      <c r="BG82" s="384">
        <f t="shared" si="70"/>
        <v>0</v>
      </c>
      <c r="BH82" s="384"/>
      <c r="BI82" s="384"/>
      <c r="BJ82" s="384"/>
      <c r="BK82" s="384"/>
      <c r="BL82" s="384">
        <f t="shared" si="67"/>
        <v>0</v>
      </c>
      <c r="BM82" s="384"/>
      <c r="BN82" s="384"/>
      <c r="BO82" s="384"/>
      <c r="BP82" s="384"/>
      <c r="BQ82" s="384">
        <f t="shared" si="76"/>
        <v>0</v>
      </c>
      <c r="BR82" s="384"/>
      <c r="BS82" s="384"/>
      <c r="BT82" s="384"/>
      <c r="BU82" s="386"/>
      <c r="BV82" s="384">
        <f t="shared" si="68"/>
        <v>0</v>
      </c>
    </row>
    <row r="83" spans="1:74" ht="37.15" customHeight="1" x14ac:dyDescent="0.25">
      <c r="A83" s="382" t="s">
        <v>68</v>
      </c>
      <c r="B83" s="383" t="s">
        <v>367</v>
      </c>
      <c r="C83" s="374">
        <v>226</v>
      </c>
      <c r="D83" s="387" t="s">
        <v>535</v>
      </c>
      <c r="E83" s="384">
        <f t="shared" si="72"/>
        <v>37306</v>
      </c>
      <c r="F83" s="384"/>
      <c r="G83" s="384"/>
      <c r="H83" s="384"/>
      <c r="I83" s="384">
        <v>37306</v>
      </c>
      <c r="J83" s="384">
        <f t="shared" si="13"/>
        <v>0</v>
      </c>
      <c r="K83" s="384"/>
      <c r="L83" s="384"/>
      <c r="M83" s="384"/>
      <c r="N83" s="384"/>
      <c r="O83" s="384">
        <f t="shared" si="14"/>
        <v>0</v>
      </c>
      <c r="P83" s="384"/>
      <c r="Q83" s="384"/>
      <c r="R83" s="384"/>
      <c r="S83" s="384"/>
      <c r="T83" s="384">
        <f t="shared" si="65"/>
        <v>0</v>
      </c>
      <c r="U83" s="384"/>
      <c r="V83" s="384"/>
      <c r="W83" s="384"/>
      <c r="X83" s="384"/>
      <c r="Y83" s="395">
        <f t="shared" si="66"/>
        <v>37306</v>
      </c>
      <c r="Z83" s="384"/>
      <c r="AA83" s="384"/>
      <c r="AB83" s="384"/>
      <c r="AC83" s="386">
        <v>37306</v>
      </c>
      <c r="AD83" s="384">
        <f t="shared" si="73"/>
        <v>0</v>
      </c>
      <c r="AE83" s="384"/>
      <c r="AF83" s="384"/>
      <c r="AG83" s="384"/>
      <c r="AH83" s="386"/>
      <c r="AI83" s="384">
        <f t="shared" si="74"/>
        <v>0</v>
      </c>
      <c r="AJ83" s="384"/>
      <c r="AK83" s="384"/>
      <c r="AL83" s="384"/>
      <c r="AM83" s="386"/>
      <c r="AN83" s="384">
        <v>0</v>
      </c>
      <c r="AO83" s="384"/>
      <c r="AP83" s="384"/>
      <c r="AQ83" s="384"/>
      <c r="AR83" s="386"/>
      <c r="AS83" s="384">
        <v>0</v>
      </c>
      <c r="AT83" s="384"/>
      <c r="AU83" s="384"/>
      <c r="AV83" s="384"/>
      <c r="AW83" s="386"/>
      <c r="AX83" s="384">
        <f t="shared" si="75"/>
        <v>0</v>
      </c>
      <c r="AY83" s="384"/>
      <c r="AZ83" s="384"/>
      <c r="BA83" s="384"/>
      <c r="BB83" s="386"/>
      <c r="BC83" s="384">
        <f t="shared" si="69"/>
        <v>0</v>
      </c>
      <c r="BD83" s="384"/>
      <c r="BE83" s="384"/>
      <c r="BF83" s="384"/>
      <c r="BG83" s="384">
        <f t="shared" si="70"/>
        <v>0</v>
      </c>
      <c r="BH83" s="384"/>
      <c r="BI83" s="384"/>
      <c r="BJ83" s="384"/>
      <c r="BK83" s="384"/>
      <c r="BL83" s="384">
        <f t="shared" si="67"/>
        <v>0</v>
      </c>
      <c r="BM83" s="384"/>
      <c r="BN83" s="384"/>
      <c r="BO83" s="384"/>
      <c r="BP83" s="384"/>
      <c r="BQ83" s="384">
        <f t="shared" si="76"/>
        <v>0</v>
      </c>
      <c r="BR83" s="384"/>
      <c r="BS83" s="384"/>
      <c r="BT83" s="384"/>
      <c r="BU83" s="386"/>
      <c r="BV83" s="384">
        <f t="shared" si="68"/>
        <v>0</v>
      </c>
    </row>
    <row r="84" spans="1:74" ht="31.5" x14ac:dyDescent="0.25">
      <c r="A84" s="382" t="s">
        <v>69</v>
      </c>
      <c r="B84" s="383" t="s">
        <v>369</v>
      </c>
      <c r="C84" s="374">
        <v>226</v>
      </c>
      <c r="D84" s="387" t="s">
        <v>536</v>
      </c>
      <c r="E84" s="384">
        <f t="shared" si="72"/>
        <v>9948</v>
      </c>
      <c r="F84" s="384"/>
      <c r="G84" s="384"/>
      <c r="H84" s="384"/>
      <c r="I84" s="384">
        <v>9948</v>
      </c>
      <c r="J84" s="384">
        <f t="shared" si="13"/>
        <v>0</v>
      </c>
      <c r="K84" s="384"/>
      <c r="L84" s="384"/>
      <c r="M84" s="384"/>
      <c r="N84" s="384"/>
      <c r="O84" s="384">
        <f t="shared" si="14"/>
        <v>0</v>
      </c>
      <c r="P84" s="384"/>
      <c r="Q84" s="384"/>
      <c r="R84" s="384"/>
      <c r="S84" s="384"/>
      <c r="T84" s="384">
        <f t="shared" si="65"/>
        <v>0</v>
      </c>
      <c r="U84" s="384"/>
      <c r="V84" s="384"/>
      <c r="W84" s="384"/>
      <c r="X84" s="384"/>
      <c r="Y84" s="395">
        <f t="shared" si="66"/>
        <v>9948</v>
      </c>
      <c r="Z84" s="384"/>
      <c r="AA84" s="384"/>
      <c r="AB84" s="384"/>
      <c r="AC84" s="386">
        <v>9948</v>
      </c>
      <c r="AD84" s="384">
        <f t="shared" si="73"/>
        <v>0</v>
      </c>
      <c r="AE84" s="384"/>
      <c r="AF84" s="384"/>
      <c r="AG84" s="384"/>
      <c r="AH84" s="386"/>
      <c r="AI84" s="384">
        <f t="shared" si="74"/>
        <v>0</v>
      </c>
      <c r="AJ84" s="384"/>
      <c r="AK84" s="384"/>
      <c r="AL84" s="384"/>
      <c r="AM84" s="386"/>
      <c r="AN84" s="384">
        <v>0</v>
      </c>
      <c r="AO84" s="384"/>
      <c r="AP84" s="384"/>
      <c r="AQ84" s="384"/>
      <c r="AR84" s="386"/>
      <c r="AS84" s="384">
        <v>0</v>
      </c>
      <c r="AT84" s="384"/>
      <c r="AU84" s="384"/>
      <c r="AV84" s="384"/>
      <c r="AW84" s="386"/>
      <c r="AX84" s="384">
        <f t="shared" si="75"/>
        <v>0</v>
      </c>
      <c r="AY84" s="384"/>
      <c r="AZ84" s="384"/>
      <c r="BA84" s="384"/>
      <c r="BB84" s="386"/>
      <c r="BC84" s="384">
        <f t="shared" si="69"/>
        <v>0</v>
      </c>
      <c r="BD84" s="384"/>
      <c r="BE84" s="384"/>
      <c r="BF84" s="384"/>
      <c r="BG84" s="384">
        <f t="shared" si="70"/>
        <v>0</v>
      </c>
      <c r="BH84" s="384"/>
      <c r="BI84" s="384"/>
      <c r="BJ84" s="384"/>
      <c r="BK84" s="384"/>
      <c r="BL84" s="384">
        <f t="shared" si="67"/>
        <v>0</v>
      </c>
      <c r="BM84" s="384"/>
      <c r="BN84" s="384"/>
      <c r="BO84" s="384"/>
      <c r="BP84" s="384"/>
      <c r="BQ84" s="384">
        <f t="shared" si="76"/>
        <v>0</v>
      </c>
      <c r="BR84" s="384"/>
      <c r="BS84" s="384"/>
      <c r="BT84" s="384"/>
      <c r="BU84" s="386"/>
      <c r="BV84" s="384">
        <f t="shared" si="68"/>
        <v>0</v>
      </c>
    </row>
    <row r="85" spans="1:74" ht="31.5" x14ac:dyDescent="0.25">
      <c r="A85" s="382" t="s">
        <v>70</v>
      </c>
      <c r="B85" s="383" t="s">
        <v>371</v>
      </c>
      <c r="C85" s="374">
        <v>226</v>
      </c>
      <c r="D85" s="387" t="s">
        <v>537</v>
      </c>
      <c r="E85" s="384">
        <f t="shared" si="72"/>
        <v>26806</v>
      </c>
      <c r="F85" s="384"/>
      <c r="G85" s="384"/>
      <c r="H85" s="384"/>
      <c r="I85" s="384">
        <v>26806</v>
      </c>
      <c r="J85" s="384">
        <f t="shared" si="13"/>
        <v>0</v>
      </c>
      <c r="K85" s="384"/>
      <c r="L85" s="384"/>
      <c r="M85" s="384"/>
      <c r="N85" s="384"/>
      <c r="O85" s="384">
        <f t="shared" si="14"/>
        <v>0</v>
      </c>
      <c r="P85" s="384"/>
      <c r="Q85" s="384"/>
      <c r="R85" s="384"/>
      <c r="S85" s="384"/>
      <c r="T85" s="384">
        <f t="shared" si="65"/>
        <v>0</v>
      </c>
      <c r="U85" s="384"/>
      <c r="V85" s="384"/>
      <c r="W85" s="384"/>
      <c r="X85" s="384"/>
      <c r="Y85" s="395">
        <f t="shared" si="66"/>
        <v>26806</v>
      </c>
      <c r="Z85" s="384"/>
      <c r="AA85" s="384"/>
      <c r="AB85" s="384"/>
      <c r="AC85" s="386">
        <v>26806</v>
      </c>
      <c r="AD85" s="384">
        <f t="shared" si="73"/>
        <v>0</v>
      </c>
      <c r="AE85" s="384"/>
      <c r="AF85" s="384"/>
      <c r="AG85" s="384"/>
      <c r="AH85" s="386"/>
      <c r="AI85" s="384">
        <f t="shared" si="74"/>
        <v>0</v>
      </c>
      <c r="AJ85" s="384"/>
      <c r="AK85" s="384"/>
      <c r="AL85" s="384"/>
      <c r="AM85" s="386"/>
      <c r="AN85" s="384">
        <v>0</v>
      </c>
      <c r="AO85" s="384"/>
      <c r="AP85" s="384"/>
      <c r="AQ85" s="384"/>
      <c r="AR85" s="386"/>
      <c r="AS85" s="384">
        <v>0</v>
      </c>
      <c r="AT85" s="384"/>
      <c r="AU85" s="384"/>
      <c r="AV85" s="384"/>
      <c r="AW85" s="386"/>
      <c r="AX85" s="384">
        <f t="shared" si="75"/>
        <v>0</v>
      </c>
      <c r="AY85" s="384"/>
      <c r="AZ85" s="384"/>
      <c r="BA85" s="384"/>
      <c r="BB85" s="386"/>
      <c r="BC85" s="384">
        <f t="shared" si="69"/>
        <v>0</v>
      </c>
      <c r="BD85" s="384"/>
      <c r="BE85" s="384"/>
      <c r="BF85" s="384"/>
      <c r="BG85" s="384">
        <f t="shared" si="70"/>
        <v>0</v>
      </c>
      <c r="BH85" s="384"/>
      <c r="BI85" s="384"/>
      <c r="BJ85" s="384"/>
      <c r="BK85" s="384"/>
      <c r="BL85" s="384">
        <f t="shared" si="67"/>
        <v>0</v>
      </c>
      <c r="BM85" s="384"/>
      <c r="BN85" s="384"/>
      <c r="BO85" s="384"/>
      <c r="BP85" s="384"/>
      <c r="BQ85" s="384">
        <f t="shared" si="76"/>
        <v>0</v>
      </c>
      <c r="BR85" s="384"/>
      <c r="BS85" s="384"/>
      <c r="BT85" s="384"/>
      <c r="BU85" s="386"/>
      <c r="BV85" s="384">
        <f t="shared" si="68"/>
        <v>0</v>
      </c>
    </row>
    <row r="86" spans="1:74" ht="25.15" customHeight="1" x14ac:dyDescent="0.25">
      <c r="A86" s="382" t="s">
        <v>71</v>
      </c>
      <c r="B86" s="383" t="s">
        <v>373</v>
      </c>
      <c r="C86" s="374">
        <v>226</v>
      </c>
      <c r="D86" s="387" t="s">
        <v>538</v>
      </c>
      <c r="E86" s="384">
        <f t="shared" si="72"/>
        <v>8070</v>
      </c>
      <c r="F86" s="384"/>
      <c r="G86" s="384"/>
      <c r="H86" s="384"/>
      <c r="I86" s="384">
        <v>8070</v>
      </c>
      <c r="J86" s="384">
        <f t="shared" si="13"/>
        <v>0</v>
      </c>
      <c r="K86" s="384"/>
      <c r="L86" s="384"/>
      <c r="M86" s="384"/>
      <c r="N86" s="384"/>
      <c r="O86" s="384">
        <f t="shared" si="14"/>
        <v>0</v>
      </c>
      <c r="P86" s="384"/>
      <c r="Q86" s="384"/>
      <c r="R86" s="384"/>
      <c r="S86" s="384"/>
      <c r="T86" s="384">
        <f t="shared" si="65"/>
        <v>0</v>
      </c>
      <c r="U86" s="384"/>
      <c r="V86" s="384"/>
      <c r="W86" s="384"/>
      <c r="X86" s="384"/>
      <c r="Y86" s="395">
        <f t="shared" si="66"/>
        <v>8070</v>
      </c>
      <c r="Z86" s="384"/>
      <c r="AA86" s="384"/>
      <c r="AB86" s="384"/>
      <c r="AC86" s="386">
        <v>8070</v>
      </c>
      <c r="AD86" s="384">
        <f t="shared" si="73"/>
        <v>0</v>
      </c>
      <c r="AE86" s="384"/>
      <c r="AF86" s="384"/>
      <c r="AG86" s="384"/>
      <c r="AH86" s="386"/>
      <c r="AI86" s="384">
        <f t="shared" si="74"/>
        <v>0</v>
      </c>
      <c r="AJ86" s="384"/>
      <c r="AK86" s="384"/>
      <c r="AL86" s="384"/>
      <c r="AM86" s="386"/>
      <c r="AN86" s="384">
        <v>0</v>
      </c>
      <c r="AO86" s="384"/>
      <c r="AP86" s="384"/>
      <c r="AQ86" s="384"/>
      <c r="AR86" s="386"/>
      <c r="AS86" s="384">
        <v>0</v>
      </c>
      <c r="AT86" s="384"/>
      <c r="AU86" s="384"/>
      <c r="AV86" s="384"/>
      <c r="AW86" s="386"/>
      <c r="AX86" s="384">
        <f t="shared" si="75"/>
        <v>0</v>
      </c>
      <c r="AY86" s="384"/>
      <c r="AZ86" s="384"/>
      <c r="BA86" s="384"/>
      <c r="BB86" s="386"/>
      <c r="BC86" s="384">
        <f t="shared" si="69"/>
        <v>0</v>
      </c>
      <c r="BD86" s="384"/>
      <c r="BE86" s="384"/>
      <c r="BF86" s="384"/>
      <c r="BG86" s="384">
        <f t="shared" si="70"/>
        <v>0</v>
      </c>
      <c r="BH86" s="384"/>
      <c r="BI86" s="384"/>
      <c r="BJ86" s="384"/>
      <c r="BK86" s="384"/>
      <c r="BL86" s="384">
        <f t="shared" si="67"/>
        <v>0</v>
      </c>
      <c r="BM86" s="384"/>
      <c r="BN86" s="384"/>
      <c r="BO86" s="384"/>
      <c r="BP86" s="384"/>
      <c r="BQ86" s="384">
        <f t="shared" si="76"/>
        <v>0</v>
      </c>
      <c r="BR86" s="384"/>
      <c r="BS86" s="384"/>
      <c r="BT86" s="384"/>
      <c r="BU86" s="386"/>
      <c r="BV86" s="384">
        <f t="shared" si="68"/>
        <v>0</v>
      </c>
    </row>
    <row r="87" spans="1:74" ht="31.5" x14ac:dyDescent="0.25">
      <c r="A87" s="382" t="s">
        <v>210</v>
      </c>
      <c r="B87" s="383" t="s">
        <v>375</v>
      </c>
      <c r="C87" s="374">
        <v>226</v>
      </c>
      <c r="D87" s="387" t="s">
        <v>539</v>
      </c>
      <c r="E87" s="384">
        <f t="shared" si="72"/>
        <v>26557</v>
      </c>
      <c r="F87" s="384"/>
      <c r="G87" s="384"/>
      <c r="H87" s="384"/>
      <c r="I87" s="384">
        <v>26557</v>
      </c>
      <c r="J87" s="384">
        <f t="shared" si="13"/>
        <v>0</v>
      </c>
      <c r="K87" s="384"/>
      <c r="L87" s="384"/>
      <c r="M87" s="384"/>
      <c r="N87" s="384"/>
      <c r="O87" s="384">
        <f t="shared" si="14"/>
        <v>0</v>
      </c>
      <c r="P87" s="384"/>
      <c r="Q87" s="384"/>
      <c r="R87" s="384"/>
      <c r="S87" s="384"/>
      <c r="T87" s="384">
        <f t="shared" si="65"/>
        <v>0</v>
      </c>
      <c r="U87" s="384"/>
      <c r="V87" s="384"/>
      <c r="W87" s="384"/>
      <c r="X87" s="384"/>
      <c r="Y87" s="395">
        <f t="shared" si="66"/>
        <v>26557</v>
      </c>
      <c r="Z87" s="384"/>
      <c r="AA87" s="384"/>
      <c r="AB87" s="384"/>
      <c r="AC87" s="386">
        <v>26557</v>
      </c>
      <c r="AD87" s="384">
        <f t="shared" si="73"/>
        <v>0</v>
      </c>
      <c r="AE87" s="384"/>
      <c r="AF87" s="384"/>
      <c r="AG87" s="384"/>
      <c r="AH87" s="386"/>
      <c r="AI87" s="384">
        <f t="shared" si="74"/>
        <v>0</v>
      </c>
      <c r="AJ87" s="384"/>
      <c r="AK87" s="384"/>
      <c r="AL87" s="384"/>
      <c r="AM87" s="386"/>
      <c r="AN87" s="384">
        <v>0</v>
      </c>
      <c r="AO87" s="384"/>
      <c r="AP87" s="384"/>
      <c r="AQ87" s="384"/>
      <c r="AR87" s="386"/>
      <c r="AS87" s="384">
        <v>0</v>
      </c>
      <c r="AT87" s="384"/>
      <c r="AU87" s="384"/>
      <c r="AV87" s="384"/>
      <c r="AW87" s="386"/>
      <c r="AX87" s="384">
        <f t="shared" si="75"/>
        <v>0</v>
      </c>
      <c r="AY87" s="384"/>
      <c r="AZ87" s="384"/>
      <c r="BA87" s="384"/>
      <c r="BB87" s="386"/>
      <c r="BC87" s="384">
        <f t="shared" si="69"/>
        <v>0</v>
      </c>
      <c r="BD87" s="384"/>
      <c r="BE87" s="384"/>
      <c r="BF87" s="384"/>
      <c r="BG87" s="384">
        <f t="shared" si="70"/>
        <v>0</v>
      </c>
      <c r="BH87" s="384"/>
      <c r="BI87" s="384"/>
      <c r="BJ87" s="384"/>
      <c r="BK87" s="384"/>
      <c r="BL87" s="384">
        <f t="shared" si="67"/>
        <v>0</v>
      </c>
      <c r="BM87" s="384"/>
      <c r="BN87" s="384"/>
      <c r="BO87" s="384"/>
      <c r="BP87" s="384"/>
      <c r="BQ87" s="384">
        <f t="shared" si="76"/>
        <v>0</v>
      </c>
      <c r="BR87" s="384"/>
      <c r="BS87" s="384"/>
      <c r="BT87" s="384"/>
      <c r="BU87" s="386"/>
      <c r="BV87" s="384">
        <f t="shared" si="68"/>
        <v>0</v>
      </c>
    </row>
    <row r="88" spans="1:74" ht="31.5" x14ac:dyDescent="0.25">
      <c r="A88" s="382" t="s">
        <v>254</v>
      </c>
      <c r="B88" s="383" t="s">
        <v>386</v>
      </c>
      <c r="C88" s="374">
        <v>226</v>
      </c>
      <c r="D88" s="387" t="s">
        <v>540</v>
      </c>
      <c r="E88" s="384">
        <f t="shared" si="72"/>
        <v>36324</v>
      </c>
      <c r="F88" s="384"/>
      <c r="G88" s="384"/>
      <c r="H88" s="384"/>
      <c r="I88" s="384">
        <v>36324</v>
      </c>
      <c r="J88" s="384">
        <f t="shared" si="13"/>
        <v>0</v>
      </c>
      <c r="K88" s="384"/>
      <c r="L88" s="384"/>
      <c r="M88" s="384"/>
      <c r="N88" s="384"/>
      <c r="O88" s="384">
        <f t="shared" si="14"/>
        <v>0</v>
      </c>
      <c r="P88" s="384"/>
      <c r="Q88" s="384"/>
      <c r="R88" s="384"/>
      <c r="S88" s="384"/>
      <c r="T88" s="384">
        <f t="shared" si="65"/>
        <v>0</v>
      </c>
      <c r="U88" s="384"/>
      <c r="V88" s="384"/>
      <c r="W88" s="384"/>
      <c r="X88" s="384"/>
      <c r="Y88" s="395">
        <f t="shared" si="66"/>
        <v>36324</v>
      </c>
      <c r="Z88" s="384"/>
      <c r="AA88" s="384"/>
      <c r="AB88" s="384"/>
      <c r="AC88" s="386">
        <v>36324</v>
      </c>
      <c r="AD88" s="384">
        <f t="shared" si="73"/>
        <v>0</v>
      </c>
      <c r="AE88" s="384"/>
      <c r="AF88" s="384"/>
      <c r="AG88" s="384"/>
      <c r="AH88" s="386"/>
      <c r="AI88" s="384">
        <f t="shared" si="74"/>
        <v>0</v>
      </c>
      <c r="AJ88" s="384"/>
      <c r="AK88" s="384"/>
      <c r="AL88" s="384"/>
      <c r="AM88" s="386"/>
      <c r="AN88" s="384">
        <v>0</v>
      </c>
      <c r="AO88" s="384"/>
      <c r="AP88" s="384"/>
      <c r="AQ88" s="384"/>
      <c r="AR88" s="386"/>
      <c r="AS88" s="384">
        <v>0</v>
      </c>
      <c r="AT88" s="384"/>
      <c r="AU88" s="384"/>
      <c r="AV88" s="384"/>
      <c r="AW88" s="386"/>
      <c r="AX88" s="384">
        <f t="shared" si="75"/>
        <v>0</v>
      </c>
      <c r="AY88" s="384"/>
      <c r="AZ88" s="384"/>
      <c r="BA88" s="384"/>
      <c r="BB88" s="386"/>
      <c r="BC88" s="384">
        <f t="shared" si="69"/>
        <v>0</v>
      </c>
      <c r="BD88" s="384"/>
      <c r="BE88" s="384"/>
      <c r="BF88" s="384"/>
      <c r="BG88" s="384">
        <f t="shared" si="70"/>
        <v>0</v>
      </c>
      <c r="BH88" s="384"/>
      <c r="BI88" s="384"/>
      <c r="BJ88" s="384"/>
      <c r="BK88" s="384"/>
      <c r="BL88" s="384">
        <f t="shared" si="67"/>
        <v>0</v>
      </c>
      <c r="BM88" s="384"/>
      <c r="BN88" s="384"/>
      <c r="BO88" s="384"/>
      <c r="BP88" s="384"/>
      <c r="BQ88" s="384">
        <f t="shared" si="76"/>
        <v>0</v>
      </c>
      <c r="BR88" s="384"/>
      <c r="BS88" s="384"/>
      <c r="BT88" s="384"/>
      <c r="BU88" s="386"/>
      <c r="BV88" s="384">
        <f t="shared" si="68"/>
        <v>0</v>
      </c>
    </row>
    <row r="89" spans="1:74" ht="50.45" customHeight="1" x14ac:dyDescent="0.25">
      <c r="A89" s="382" t="s">
        <v>366</v>
      </c>
      <c r="B89" s="383" t="s">
        <v>11</v>
      </c>
      <c r="C89" s="374">
        <v>226</v>
      </c>
      <c r="D89" s="387" t="s">
        <v>541</v>
      </c>
      <c r="E89" s="384">
        <f t="shared" si="72"/>
        <v>933921.26</v>
      </c>
      <c r="F89" s="384"/>
      <c r="G89" s="384"/>
      <c r="H89" s="384"/>
      <c r="I89" s="384">
        <v>933921.26</v>
      </c>
      <c r="J89" s="384">
        <f t="shared" si="13"/>
        <v>0</v>
      </c>
      <c r="K89" s="384"/>
      <c r="L89" s="384"/>
      <c r="M89" s="384"/>
      <c r="N89" s="384"/>
      <c r="O89" s="384">
        <f t="shared" si="14"/>
        <v>933921.26</v>
      </c>
      <c r="P89" s="384"/>
      <c r="Q89" s="384"/>
      <c r="R89" s="384"/>
      <c r="S89" s="384">
        <v>933921.26</v>
      </c>
      <c r="T89" s="384">
        <f t="shared" si="65"/>
        <v>0</v>
      </c>
      <c r="U89" s="384"/>
      <c r="V89" s="384"/>
      <c r="W89" s="384"/>
      <c r="X89" s="384"/>
      <c r="Y89" s="395">
        <f t="shared" si="66"/>
        <v>0</v>
      </c>
      <c r="Z89" s="384"/>
      <c r="AA89" s="384"/>
      <c r="AB89" s="384"/>
      <c r="AC89" s="386"/>
      <c r="AD89" s="384">
        <f t="shared" si="73"/>
        <v>0</v>
      </c>
      <c r="AE89" s="384"/>
      <c r="AF89" s="384"/>
      <c r="AG89" s="384"/>
      <c r="AH89" s="386"/>
      <c r="AI89" s="384">
        <f t="shared" si="74"/>
        <v>0</v>
      </c>
      <c r="AJ89" s="384"/>
      <c r="AK89" s="384"/>
      <c r="AL89" s="384"/>
      <c r="AM89" s="386"/>
      <c r="AN89" s="384">
        <v>0</v>
      </c>
      <c r="AO89" s="384"/>
      <c r="AP89" s="384"/>
      <c r="AQ89" s="384"/>
      <c r="AR89" s="386"/>
      <c r="AS89" s="384">
        <v>0</v>
      </c>
      <c r="AT89" s="384"/>
      <c r="AU89" s="384"/>
      <c r="AV89" s="384"/>
      <c r="AW89" s="386"/>
      <c r="AX89" s="384">
        <f t="shared" si="75"/>
        <v>0</v>
      </c>
      <c r="AY89" s="384"/>
      <c r="AZ89" s="384"/>
      <c r="BA89" s="384"/>
      <c r="BB89" s="386"/>
      <c r="BC89" s="384">
        <f t="shared" si="69"/>
        <v>0</v>
      </c>
      <c r="BD89" s="384"/>
      <c r="BE89" s="384"/>
      <c r="BF89" s="384"/>
      <c r="BG89" s="384">
        <f t="shared" si="70"/>
        <v>0</v>
      </c>
      <c r="BH89" s="384"/>
      <c r="BI89" s="384"/>
      <c r="BJ89" s="384"/>
      <c r="BK89" s="384"/>
      <c r="BL89" s="384">
        <f t="shared" si="67"/>
        <v>0</v>
      </c>
      <c r="BM89" s="384"/>
      <c r="BN89" s="384"/>
      <c r="BO89" s="384"/>
      <c r="BP89" s="384"/>
      <c r="BQ89" s="384">
        <f t="shared" si="76"/>
        <v>0</v>
      </c>
      <c r="BR89" s="384"/>
      <c r="BS89" s="384"/>
      <c r="BT89" s="384"/>
      <c r="BU89" s="386"/>
      <c r="BV89" s="384">
        <f t="shared" si="68"/>
        <v>0</v>
      </c>
    </row>
    <row r="90" spans="1:74" ht="42" customHeight="1" x14ac:dyDescent="0.25">
      <c r="A90" s="382" t="s">
        <v>387</v>
      </c>
      <c r="B90" s="383" t="s">
        <v>20</v>
      </c>
      <c r="C90" s="374">
        <v>226</v>
      </c>
      <c r="D90" s="387" t="s">
        <v>542</v>
      </c>
      <c r="E90" s="384">
        <f t="shared" si="72"/>
        <v>152643.17000000001</v>
      </c>
      <c r="F90" s="384"/>
      <c r="G90" s="384"/>
      <c r="H90" s="384"/>
      <c r="I90" s="384">
        <v>152643.17000000001</v>
      </c>
      <c r="J90" s="384">
        <f t="shared" si="13"/>
        <v>0</v>
      </c>
      <c r="K90" s="384"/>
      <c r="L90" s="384"/>
      <c r="M90" s="384"/>
      <c r="N90" s="384"/>
      <c r="O90" s="384">
        <f t="shared" si="14"/>
        <v>3804.29</v>
      </c>
      <c r="P90" s="384"/>
      <c r="Q90" s="384"/>
      <c r="R90" s="384"/>
      <c r="S90" s="384">
        <v>3804.29</v>
      </c>
      <c r="T90" s="384">
        <f t="shared" si="65"/>
        <v>27418.92</v>
      </c>
      <c r="U90" s="384"/>
      <c r="V90" s="384"/>
      <c r="W90" s="384"/>
      <c r="X90" s="384">
        <v>27418.92</v>
      </c>
      <c r="Y90" s="395">
        <f t="shared" si="66"/>
        <v>100113.93999999999</v>
      </c>
      <c r="Z90" s="384"/>
      <c r="AA90" s="384"/>
      <c r="AC90" s="386">
        <f>28784.87+8874.87+15841.52+5093.32+13783.6+27735.76</f>
        <v>100113.93999999999</v>
      </c>
      <c r="AD90" s="384">
        <f t="shared" si="73"/>
        <v>0</v>
      </c>
      <c r="AE90" s="384"/>
      <c r="AF90" s="384"/>
      <c r="AH90" s="386"/>
      <c r="AI90" s="384">
        <f t="shared" si="74"/>
        <v>0</v>
      </c>
      <c r="AJ90" s="384"/>
      <c r="AK90" s="384"/>
      <c r="AM90" s="386"/>
      <c r="AN90" s="384">
        <v>0</v>
      </c>
      <c r="AO90" s="384"/>
      <c r="AP90" s="384"/>
      <c r="AR90" s="386"/>
      <c r="AS90" s="384">
        <v>0</v>
      </c>
      <c r="AT90" s="384"/>
      <c r="AU90" s="384"/>
      <c r="AW90" s="386"/>
      <c r="AX90" s="384">
        <f t="shared" si="75"/>
        <v>0</v>
      </c>
      <c r="AY90" s="384"/>
      <c r="AZ90" s="384"/>
      <c r="BB90" s="386"/>
      <c r="BC90" s="384">
        <f t="shared" si="69"/>
        <v>21306.020000000019</v>
      </c>
      <c r="BD90" s="384"/>
      <c r="BE90" s="384"/>
      <c r="BF90" s="384"/>
      <c r="BG90" s="384">
        <f t="shared" si="70"/>
        <v>0</v>
      </c>
      <c r="BH90" s="384"/>
      <c r="BI90" s="384"/>
      <c r="BJ90" s="384"/>
      <c r="BK90" s="384"/>
      <c r="BL90" s="384">
        <f t="shared" si="67"/>
        <v>21306.020000000019</v>
      </c>
      <c r="BM90" s="384"/>
      <c r="BN90" s="384"/>
      <c r="BO90" s="384"/>
      <c r="BP90" s="384">
        <f>I90-N90-S90-X90-AC90-AH90-BK90-BB90-AM90-AR90-AW90</f>
        <v>21306.020000000019</v>
      </c>
      <c r="BQ90" s="384">
        <f t="shared" si="76"/>
        <v>0</v>
      </c>
      <c r="BR90" s="384"/>
      <c r="BS90" s="384"/>
      <c r="BU90" s="386"/>
      <c r="BV90" s="384">
        <f t="shared" si="68"/>
        <v>21306.020000000019</v>
      </c>
    </row>
    <row r="91" spans="1:74" ht="43.15" customHeight="1" x14ac:dyDescent="0.25">
      <c r="A91" s="382" t="s">
        <v>388</v>
      </c>
      <c r="B91" s="383" t="s">
        <v>12</v>
      </c>
      <c r="C91" s="374">
        <v>226</v>
      </c>
      <c r="D91" s="387" t="s">
        <v>543</v>
      </c>
      <c r="E91" s="384">
        <f t="shared" si="72"/>
        <v>838322.56</v>
      </c>
      <c r="F91" s="384"/>
      <c r="G91" s="384"/>
      <c r="H91" s="384"/>
      <c r="I91" s="384">
        <v>838322.56</v>
      </c>
      <c r="J91" s="384">
        <f t="shared" si="13"/>
        <v>0</v>
      </c>
      <c r="K91" s="384"/>
      <c r="L91" s="384"/>
      <c r="M91" s="384"/>
      <c r="N91" s="384"/>
      <c r="O91" s="384">
        <f t="shared" si="14"/>
        <v>251496.77</v>
      </c>
      <c r="P91" s="384"/>
      <c r="Q91" s="384"/>
      <c r="R91" s="384"/>
      <c r="S91" s="384">
        <v>251496.77</v>
      </c>
      <c r="T91" s="384">
        <f t="shared" si="65"/>
        <v>0</v>
      </c>
      <c r="U91" s="384"/>
      <c r="V91" s="384"/>
      <c r="W91" s="384"/>
      <c r="X91" s="384"/>
      <c r="Y91" s="395">
        <f t="shared" si="66"/>
        <v>0</v>
      </c>
      <c r="Z91" s="384"/>
      <c r="AA91" s="384"/>
      <c r="AB91" s="384"/>
      <c r="AC91" s="386"/>
      <c r="AD91" s="384">
        <f t="shared" si="73"/>
        <v>586825.79</v>
      </c>
      <c r="AE91" s="384"/>
      <c r="AF91" s="384"/>
      <c r="AG91" s="384"/>
      <c r="AH91" s="386">
        <v>586825.79</v>
      </c>
      <c r="AI91" s="384">
        <f t="shared" si="74"/>
        <v>0</v>
      </c>
      <c r="AJ91" s="384"/>
      <c r="AK91" s="384"/>
      <c r="AL91" s="384"/>
      <c r="AM91" s="386"/>
      <c r="AN91" s="384">
        <v>0</v>
      </c>
      <c r="AO91" s="384"/>
      <c r="AP91" s="384"/>
      <c r="AQ91" s="384"/>
      <c r="AR91" s="386"/>
      <c r="AS91" s="384">
        <v>0</v>
      </c>
      <c r="AT91" s="384"/>
      <c r="AU91" s="384"/>
      <c r="AV91" s="384"/>
      <c r="AW91" s="386"/>
      <c r="AX91" s="384">
        <f t="shared" si="75"/>
        <v>0</v>
      </c>
      <c r="AY91" s="384"/>
      <c r="AZ91" s="384"/>
      <c r="BA91" s="384"/>
      <c r="BB91" s="386"/>
      <c r="BC91" s="384">
        <f t="shared" si="69"/>
        <v>0</v>
      </c>
      <c r="BD91" s="384"/>
      <c r="BE91" s="384"/>
      <c r="BF91" s="384"/>
      <c r="BG91" s="384">
        <f t="shared" si="70"/>
        <v>0</v>
      </c>
      <c r="BH91" s="384"/>
      <c r="BI91" s="384"/>
      <c r="BJ91" s="384"/>
      <c r="BK91" s="384"/>
      <c r="BL91" s="384">
        <f t="shared" si="67"/>
        <v>0</v>
      </c>
      <c r="BM91" s="384"/>
      <c r="BN91" s="384"/>
      <c r="BO91" s="384"/>
      <c r="BP91" s="384"/>
      <c r="BQ91" s="384">
        <f t="shared" si="76"/>
        <v>0</v>
      </c>
      <c r="BR91" s="384"/>
      <c r="BS91" s="384"/>
      <c r="BT91" s="384"/>
      <c r="BU91" s="386"/>
      <c r="BV91" s="384">
        <f t="shared" si="68"/>
        <v>0</v>
      </c>
    </row>
    <row r="92" spans="1:74" ht="45" customHeight="1" x14ac:dyDescent="0.25">
      <c r="A92" s="382" t="s">
        <v>389</v>
      </c>
      <c r="B92" s="383" t="s">
        <v>13</v>
      </c>
      <c r="C92" s="374">
        <v>226</v>
      </c>
      <c r="D92" s="387" t="s">
        <v>544</v>
      </c>
      <c r="E92" s="384">
        <f t="shared" si="72"/>
        <v>805673.58</v>
      </c>
      <c r="F92" s="384"/>
      <c r="G92" s="384"/>
      <c r="H92" s="384"/>
      <c r="I92" s="384">
        <v>805673.58</v>
      </c>
      <c r="J92" s="384">
        <f t="shared" si="13"/>
        <v>0</v>
      </c>
      <c r="K92" s="384"/>
      <c r="L92" s="384"/>
      <c r="M92" s="384"/>
      <c r="N92" s="384"/>
      <c r="O92" s="384">
        <f t="shared" si="14"/>
        <v>523687.83</v>
      </c>
      <c r="P92" s="384"/>
      <c r="Q92" s="384"/>
      <c r="R92" s="384"/>
      <c r="S92" s="384">
        <v>523687.83</v>
      </c>
      <c r="T92" s="384">
        <f t="shared" si="65"/>
        <v>0</v>
      </c>
      <c r="U92" s="384"/>
      <c r="V92" s="384"/>
      <c r="W92" s="384"/>
      <c r="X92" s="384"/>
      <c r="Y92" s="395">
        <f t="shared" si="66"/>
        <v>281985.75</v>
      </c>
      <c r="Z92" s="384"/>
      <c r="AA92" s="384"/>
      <c r="AB92" s="384"/>
      <c r="AC92" s="386">
        <v>281985.75</v>
      </c>
      <c r="AD92" s="384">
        <f t="shared" si="73"/>
        <v>0</v>
      </c>
      <c r="AE92" s="384"/>
      <c r="AF92" s="384"/>
      <c r="AG92" s="384"/>
      <c r="AH92" s="386"/>
      <c r="AI92" s="384">
        <f t="shared" si="74"/>
        <v>0</v>
      </c>
      <c r="AJ92" s="384"/>
      <c r="AK92" s="384"/>
      <c r="AL92" s="384"/>
      <c r="AM92" s="386"/>
      <c r="AN92" s="384">
        <v>0</v>
      </c>
      <c r="AO92" s="384"/>
      <c r="AP92" s="384"/>
      <c r="AQ92" s="384"/>
      <c r="AR92" s="386"/>
      <c r="AS92" s="384">
        <v>0</v>
      </c>
      <c r="AT92" s="384"/>
      <c r="AU92" s="384"/>
      <c r="AV92" s="384"/>
      <c r="AW92" s="386"/>
      <c r="AX92" s="384">
        <f t="shared" si="75"/>
        <v>0</v>
      </c>
      <c r="AY92" s="384"/>
      <c r="AZ92" s="384"/>
      <c r="BA92" s="384"/>
      <c r="BB92" s="386"/>
      <c r="BC92" s="384">
        <f t="shared" si="69"/>
        <v>-5.8207660913467407E-11</v>
      </c>
      <c r="BD92" s="384"/>
      <c r="BE92" s="384"/>
      <c r="BF92" s="384"/>
      <c r="BG92" s="384">
        <f t="shared" si="70"/>
        <v>0</v>
      </c>
      <c r="BH92" s="384"/>
      <c r="BI92" s="384"/>
      <c r="BJ92" s="384"/>
      <c r="BK92" s="384"/>
      <c r="BL92" s="384">
        <f t="shared" si="67"/>
        <v>0</v>
      </c>
      <c r="BM92" s="384"/>
      <c r="BN92" s="384"/>
      <c r="BO92" s="384"/>
      <c r="BP92" s="384"/>
      <c r="BQ92" s="384">
        <f t="shared" si="76"/>
        <v>0</v>
      </c>
      <c r="BR92" s="384"/>
      <c r="BS92" s="384"/>
      <c r="BT92" s="384"/>
      <c r="BU92" s="386"/>
      <c r="BV92" s="384">
        <f t="shared" si="68"/>
        <v>-5.8207660913467407E-11</v>
      </c>
    </row>
    <row r="93" spans="1:74" ht="38.450000000000003" customHeight="1" x14ac:dyDescent="0.25">
      <c r="A93" s="382" t="s">
        <v>390</v>
      </c>
      <c r="B93" s="383" t="s">
        <v>15</v>
      </c>
      <c r="C93" s="374">
        <v>226</v>
      </c>
      <c r="D93" s="387" t="s">
        <v>545</v>
      </c>
      <c r="E93" s="384">
        <f t="shared" si="72"/>
        <v>909994.46</v>
      </c>
      <c r="F93" s="384"/>
      <c r="G93" s="384"/>
      <c r="H93" s="384"/>
      <c r="I93" s="384">
        <v>909994.46</v>
      </c>
      <c r="J93" s="384">
        <f t="shared" si="13"/>
        <v>0</v>
      </c>
      <c r="K93" s="384"/>
      <c r="L93" s="384"/>
      <c r="M93" s="384"/>
      <c r="N93" s="384"/>
      <c r="O93" s="384">
        <f t="shared" si="14"/>
        <v>591496.4</v>
      </c>
      <c r="P93" s="384"/>
      <c r="Q93" s="384"/>
      <c r="R93" s="384"/>
      <c r="S93" s="384">
        <v>591496.4</v>
      </c>
      <c r="T93" s="384">
        <f t="shared" si="65"/>
        <v>0</v>
      </c>
      <c r="U93" s="384"/>
      <c r="V93" s="384"/>
      <c r="W93" s="384"/>
      <c r="X93" s="384"/>
      <c r="Y93" s="395">
        <f t="shared" si="66"/>
        <v>318498.06</v>
      </c>
      <c r="Z93" s="384"/>
      <c r="AA93" s="384"/>
      <c r="AB93" s="384"/>
      <c r="AC93" s="386">
        <v>318498.06</v>
      </c>
      <c r="AD93" s="384">
        <f t="shared" si="73"/>
        <v>0</v>
      </c>
      <c r="AE93" s="384"/>
      <c r="AF93" s="384"/>
      <c r="AG93" s="384"/>
      <c r="AH93" s="386"/>
      <c r="AI93" s="384">
        <f t="shared" si="74"/>
        <v>0</v>
      </c>
      <c r="AJ93" s="384"/>
      <c r="AK93" s="384"/>
      <c r="AL93" s="384"/>
      <c r="AM93" s="386"/>
      <c r="AN93" s="384">
        <v>0</v>
      </c>
      <c r="AO93" s="384"/>
      <c r="AP93" s="384"/>
      <c r="AQ93" s="384"/>
      <c r="AR93" s="386"/>
      <c r="AS93" s="384">
        <v>0</v>
      </c>
      <c r="AT93" s="384"/>
      <c r="AU93" s="384"/>
      <c r="AV93" s="384"/>
      <c r="AW93" s="386"/>
      <c r="AX93" s="384">
        <f t="shared" si="75"/>
        <v>0</v>
      </c>
      <c r="AY93" s="384"/>
      <c r="AZ93" s="384"/>
      <c r="BA93" s="384"/>
      <c r="BB93" s="386"/>
      <c r="BC93" s="384">
        <f t="shared" si="69"/>
        <v>-5.8207660913467407E-11</v>
      </c>
      <c r="BD93" s="384"/>
      <c r="BE93" s="384"/>
      <c r="BF93" s="384"/>
      <c r="BG93" s="384">
        <f t="shared" si="70"/>
        <v>0</v>
      </c>
      <c r="BH93" s="384"/>
      <c r="BI93" s="384"/>
      <c r="BJ93" s="384"/>
      <c r="BK93" s="384"/>
      <c r="BL93" s="384">
        <f t="shared" si="67"/>
        <v>0</v>
      </c>
      <c r="BM93" s="384"/>
      <c r="BN93" s="384"/>
      <c r="BO93" s="384"/>
      <c r="BP93" s="384"/>
      <c r="BQ93" s="384">
        <f t="shared" si="76"/>
        <v>0</v>
      </c>
      <c r="BR93" s="384"/>
      <c r="BS93" s="384"/>
      <c r="BT93" s="384"/>
      <c r="BU93" s="386"/>
      <c r="BV93" s="384">
        <f t="shared" si="68"/>
        <v>-5.8207660913467407E-11</v>
      </c>
    </row>
    <row r="94" spans="1:74" ht="44.45" customHeight="1" x14ac:dyDescent="0.25">
      <c r="A94" s="382" t="s">
        <v>391</v>
      </c>
      <c r="B94" s="383" t="s">
        <v>14</v>
      </c>
      <c r="C94" s="374">
        <v>226</v>
      </c>
      <c r="D94" s="387" t="s">
        <v>604</v>
      </c>
      <c r="E94" s="384">
        <f t="shared" si="72"/>
        <v>1315492.32</v>
      </c>
      <c r="F94" s="384"/>
      <c r="G94" s="384"/>
      <c r="H94" s="384"/>
      <c r="I94" s="384">
        <v>1315492.32</v>
      </c>
      <c r="J94" s="384">
        <f t="shared" ref="J94:J102" si="77">K94+L94+M94+N94</f>
        <v>0</v>
      </c>
      <c r="K94" s="384"/>
      <c r="L94" s="384"/>
      <c r="M94" s="384"/>
      <c r="N94" s="384"/>
      <c r="O94" s="384">
        <f t="shared" ref="O94:O186" si="78">P94+Q94+R94+S94</f>
        <v>855070</v>
      </c>
      <c r="P94" s="384"/>
      <c r="Q94" s="384"/>
      <c r="R94" s="384"/>
      <c r="S94" s="384">
        <v>855070</v>
      </c>
      <c r="T94" s="384">
        <f t="shared" si="65"/>
        <v>0</v>
      </c>
      <c r="U94" s="384"/>
      <c r="V94" s="384"/>
      <c r="W94" s="384"/>
      <c r="X94" s="384"/>
      <c r="Y94" s="395">
        <f t="shared" si="66"/>
        <v>0</v>
      </c>
      <c r="Z94" s="384"/>
      <c r="AA94" s="384"/>
      <c r="AB94" s="384"/>
      <c r="AC94" s="386">
        <v>0</v>
      </c>
      <c r="AD94" s="384">
        <f t="shared" si="73"/>
        <v>460422.32</v>
      </c>
      <c r="AE94" s="384"/>
      <c r="AF94" s="384"/>
      <c r="AG94" s="384"/>
      <c r="AH94" s="386">
        <v>460422.32</v>
      </c>
      <c r="AI94" s="384">
        <f t="shared" si="74"/>
        <v>0</v>
      </c>
      <c r="AJ94" s="384"/>
      <c r="AK94" s="384"/>
      <c r="AL94" s="384"/>
      <c r="AM94" s="386"/>
      <c r="AN94" s="384">
        <v>0</v>
      </c>
      <c r="AO94" s="384"/>
      <c r="AP94" s="384"/>
      <c r="AQ94" s="384"/>
      <c r="AR94" s="386"/>
      <c r="AS94" s="384">
        <v>0</v>
      </c>
      <c r="AT94" s="384"/>
      <c r="AU94" s="384"/>
      <c r="AV94" s="384"/>
      <c r="AW94" s="386"/>
      <c r="AX94" s="384">
        <f t="shared" si="75"/>
        <v>0</v>
      </c>
      <c r="AY94" s="384"/>
      <c r="AZ94" s="384"/>
      <c r="BA94" s="384"/>
      <c r="BB94" s="386"/>
      <c r="BC94" s="384">
        <f t="shared" si="69"/>
        <v>5.8207660913467407E-11</v>
      </c>
      <c r="BD94" s="384"/>
      <c r="BE94" s="384"/>
      <c r="BF94" s="384"/>
      <c r="BG94" s="384">
        <f t="shared" si="70"/>
        <v>0</v>
      </c>
      <c r="BH94" s="384"/>
      <c r="BI94" s="384"/>
      <c r="BJ94" s="384"/>
      <c r="BK94" s="384"/>
      <c r="BL94" s="384">
        <f t="shared" si="67"/>
        <v>0</v>
      </c>
      <c r="BM94" s="384"/>
      <c r="BN94" s="384"/>
      <c r="BO94" s="384"/>
      <c r="BP94" s="384"/>
      <c r="BQ94" s="384">
        <f t="shared" si="76"/>
        <v>0</v>
      </c>
      <c r="BR94" s="384"/>
      <c r="BS94" s="384"/>
      <c r="BT94" s="384"/>
      <c r="BU94" s="386"/>
      <c r="BV94" s="384">
        <f t="shared" si="68"/>
        <v>5.8207660913467407E-11</v>
      </c>
    </row>
    <row r="95" spans="1:74" ht="57.6" customHeight="1" x14ac:dyDescent="0.25">
      <c r="A95" s="382" t="s">
        <v>392</v>
      </c>
      <c r="B95" s="383" t="s">
        <v>428</v>
      </c>
      <c r="C95" s="374">
        <v>226</v>
      </c>
      <c r="D95" s="387" t="s">
        <v>546</v>
      </c>
      <c r="E95" s="384">
        <f t="shared" si="72"/>
        <v>48448.45</v>
      </c>
      <c r="F95" s="384"/>
      <c r="G95" s="384"/>
      <c r="H95" s="384"/>
      <c r="I95" s="384">
        <v>48448.45</v>
      </c>
      <c r="J95" s="384">
        <f t="shared" si="77"/>
        <v>0</v>
      </c>
      <c r="K95" s="384"/>
      <c r="L95" s="384"/>
      <c r="M95" s="384"/>
      <c r="N95" s="384"/>
      <c r="O95" s="384">
        <f t="shared" si="78"/>
        <v>0</v>
      </c>
      <c r="P95" s="384"/>
      <c r="Q95" s="384"/>
      <c r="R95" s="384"/>
      <c r="S95" s="384"/>
      <c r="T95" s="384">
        <f t="shared" si="65"/>
        <v>0</v>
      </c>
      <c r="U95" s="384"/>
      <c r="V95" s="384"/>
      <c r="W95" s="384"/>
      <c r="X95" s="384"/>
      <c r="Y95" s="395">
        <f t="shared" si="66"/>
        <v>0</v>
      </c>
      <c r="Z95" s="384"/>
      <c r="AA95" s="384"/>
      <c r="AB95" s="384"/>
      <c r="AC95" s="386"/>
      <c r="AD95" s="384">
        <f t="shared" si="73"/>
        <v>48448.45</v>
      </c>
      <c r="AE95" s="384"/>
      <c r="AF95" s="384"/>
      <c r="AG95" s="384"/>
      <c r="AH95" s="386">
        <f>48158.14+290.31</f>
        <v>48448.45</v>
      </c>
      <c r="AI95" s="384">
        <f t="shared" si="74"/>
        <v>0</v>
      </c>
      <c r="AJ95" s="384"/>
      <c r="AK95" s="384"/>
      <c r="AL95" s="384"/>
      <c r="AM95" s="386"/>
      <c r="AN95" s="384">
        <v>0</v>
      </c>
      <c r="AO95" s="384"/>
      <c r="AP95" s="384"/>
      <c r="AQ95" s="384"/>
      <c r="AR95" s="386"/>
      <c r="AS95" s="384">
        <v>0</v>
      </c>
      <c r="AT95" s="384"/>
      <c r="AU95" s="384"/>
      <c r="AV95" s="384"/>
      <c r="AW95" s="386"/>
      <c r="AX95" s="384">
        <f t="shared" si="75"/>
        <v>0</v>
      </c>
      <c r="AY95" s="384"/>
      <c r="AZ95" s="384"/>
      <c r="BA95" s="384"/>
      <c r="BB95" s="386"/>
      <c r="BC95" s="384">
        <f t="shared" si="69"/>
        <v>0</v>
      </c>
      <c r="BD95" s="384"/>
      <c r="BE95" s="384"/>
      <c r="BF95" s="384"/>
      <c r="BG95" s="384">
        <f t="shared" si="70"/>
        <v>0</v>
      </c>
      <c r="BH95" s="384"/>
      <c r="BI95" s="384"/>
      <c r="BJ95" s="384"/>
      <c r="BK95" s="384"/>
      <c r="BL95" s="384">
        <f t="shared" si="67"/>
        <v>0</v>
      </c>
      <c r="BM95" s="384"/>
      <c r="BN95" s="384"/>
      <c r="BO95" s="384"/>
      <c r="BP95" s="384"/>
      <c r="BQ95" s="384">
        <f t="shared" si="76"/>
        <v>0</v>
      </c>
      <c r="BR95" s="384"/>
      <c r="BS95" s="384"/>
      <c r="BT95" s="384"/>
      <c r="BU95" s="386"/>
      <c r="BV95" s="384">
        <f t="shared" si="68"/>
        <v>0</v>
      </c>
    </row>
    <row r="96" spans="1:74" ht="51.6" customHeight="1" x14ac:dyDescent="0.25">
      <c r="A96" s="382" t="s">
        <v>429</v>
      </c>
      <c r="B96" s="383" t="s">
        <v>208</v>
      </c>
      <c r="C96" s="374">
        <v>226</v>
      </c>
      <c r="D96" s="387" t="s">
        <v>547</v>
      </c>
      <c r="E96" s="384">
        <f t="shared" si="72"/>
        <v>62121.23</v>
      </c>
      <c r="F96" s="384"/>
      <c r="G96" s="384"/>
      <c r="H96" s="384"/>
      <c r="I96" s="384">
        <v>62121.23</v>
      </c>
      <c r="J96" s="384">
        <f t="shared" si="77"/>
        <v>0</v>
      </c>
      <c r="K96" s="384"/>
      <c r="L96" s="384"/>
      <c r="M96" s="384"/>
      <c r="N96" s="384"/>
      <c r="O96" s="384">
        <f t="shared" si="78"/>
        <v>0</v>
      </c>
      <c r="P96" s="384"/>
      <c r="Q96" s="384"/>
      <c r="R96" s="384"/>
      <c r="S96" s="384"/>
      <c r="T96" s="384">
        <f t="shared" si="65"/>
        <v>62121.23</v>
      </c>
      <c r="U96" s="384"/>
      <c r="V96" s="384"/>
      <c r="W96" s="384"/>
      <c r="X96" s="384">
        <v>62121.23</v>
      </c>
      <c r="Y96" s="395">
        <f t="shared" si="66"/>
        <v>0</v>
      </c>
      <c r="Z96" s="384"/>
      <c r="AA96" s="384"/>
      <c r="AB96" s="384"/>
      <c r="AC96" s="386"/>
      <c r="AD96" s="384">
        <f t="shared" ref="AD96:AD99" si="79">SUM(AE96:AH96)</f>
        <v>0</v>
      </c>
      <c r="AE96" s="384"/>
      <c r="AF96" s="384"/>
      <c r="AG96" s="384"/>
      <c r="AH96" s="386"/>
      <c r="AI96" s="384">
        <f t="shared" ref="AI96:AI99" si="80">SUM(AJ96:AM96)</f>
        <v>0</v>
      </c>
      <c r="AJ96" s="384"/>
      <c r="AK96" s="384"/>
      <c r="AL96" s="384"/>
      <c r="AM96" s="386"/>
      <c r="AN96" s="384">
        <v>0</v>
      </c>
      <c r="AO96" s="384"/>
      <c r="AP96" s="384"/>
      <c r="AQ96" s="384"/>
      <c r="AR96" s="386"/>
      <c r="AS96" s="384">
        <v>0</v>
      </c>
      <c r="AT96" s="384"/>
      <c r="AU96" s="384"/>
      <c r="AV96" s="384"/>
      <c r="AW96" s="386"/>
      <c r="AX96" s="384">
        <f t="shared" ref="AX96:AX99" si="81">SUM(AY96:BB96)</f>
        <v>0</v>
      </c>
      <c r="AY96" s="384"/>
      <c r="AZ96" s="384"/>
      <c r="BA96" s="384"/>
      <c r="BB96" s="386"/>
      <c r="BC96" s="384">
        <f t="shared" si="69"/>
        <v>0</v>
      </c>
      <c r="BD96" s="384"/>
      <c r="BE96" s="384"/>
      <c r="BF96" s="384"/>
      <c r="BG96" s="384">
        <f t="shared" si="70"/>
        <v>0</v>
      </c>
      <c r="BH96" s="384"/>
      <c r="BI96" s="384"/>
      <c r="BJ96" s="384"/>
      <c r="BK96" s="384"/>
      <c r="BL96" s="384">
        <f t="shared" si="67"/>
        <v>0</v>
      </c>
      <c r="BM96" s="384"/>
      <c r="BN96" s="384"/>
      <c r="BO96" s="384"/>
      <c r="BP96" s="384"/>
      <c r="BQ96" s="384">
        <f t="shared" ref="BQ96:BQ99" si="82">SUM(BR96:BU96)</f>
        <v>0</v>
      </c>
      <c r="BR96" s="384"/>
      <c r="BS96" s="384"/>
      <c r="BT96" s="384"/>
      <c r="BU96" s="386"/>
      <c r="BV96" s="384">
        <f t="shared" si="68"/>
        <v>0</v>
      </c>
    </row>
    <row r="97" spans="1:74" ht="40.9" customHeight="1" x14ac:dyDescent="0.25">
      <c r="A97" s="382" t="s">
        <v>436</v>
      </c>
      <c r="B97" s="388" t="s">
        <v>248</v>
      </c>
      <c r="C97" s="377">
        <v>226</v>
      </c>
      <c r="D97" s="390" t="s">
        <v>509</v>
      </c>
      <c r="E97" s="384">
        <f t="shared" si="72"/>
        <v>1239</v>
      </c>
      <c r="F97" s="384"/>
      <c r="G97" s="384"/>
      <c r="H97" s="384"/>
      <c r="I97" s="384">
        <v>1239</v>
      </c>
      <c r="J97" s="384">
        <f>K97+L97+M97+N97</f>
        <v>0</v>
      </c>
      <c r="K97" s="384"/>
      <c r="L97" s="384"/>
      <c r="M97" s="384"/>
      <c r="N97" s="384"/>
      <c r="O97" s="384">
        <f>P97+Q97+R97+S97</f>
        <v>0</v>
      </c>
      <c r="P97" s="384"/>
      <c r="Q97" s="384"/>
      <c r="R97" s="384"/>
      <c r="S97" s="384"/>
      <c r="T97" s="384">
        <f>U97+V97+W97+X97</f>
        <v>1239</v>
      </c>
      <c r="U97" s="384"/>
      <c r="V97" s="384"/>
      <c r="W97" s="384"/>
      <c r="X97" s="384">
        <v>1239</v>
      </c>
      <c r="Y97" s="395">
        <f>Z97+AA97+AB97+AC97</f>
        <v>0</v>
      </c>
      <c r="Z97" s="384"/>
      <c r="AA97" s="384"/>
      <c r="AB97" s="384"/>
      <c r="AC97" s="386"/>
      <c r="AD97" s="384">
        <f t="shared" si="79"/>
        <v>0</v>
      </c>
      <c r="AE97" s="384"/>
      <c r="AF97" s="384"/>
      <c r="AG97" s="384"/>
      <c r="AH97" s="386"/>
      <c r="AI97" s="384">
        <f t="shared" si="80"/>
        <v>0</v>
      </c>
      <c r="AJ97" s="384"/>
      <c r="AK97" s="384"/>
      <c r="AL97" s="384"/>
      <c r="AM97" s="386"/>
      <c r="AN97" s="384">
        <v>0</v>
      </c>
      <c r="AO97" s="384"/>
      <c r="AP97" s="384"/>
      <c r="AQ97" s="384"/>
      <c r="AR97" s="386"/>
      <c r="AS97" s="384">
        <v>0</v>
      </c>
      <c r="AT97" s="384"/>
      <c r="AU97" s="384"/>
      <c r="AV97" s="384"/>
      <c r="AW97" s="386"/>
      <c r="AX97" s="384">
        <f t="shared" si="81"/>
        <v>0</v>
      </c>
      <c r="AY97" s="384"/>
      <c r="AZ97" s="384"/>
      <c r="BA97" s="384"/>
      <c r="BB97" s="386"/>
      <c r="BC97" s="384">
        <f t="shared" si="69"/>
        <v>0</v>
      </c>
      <c r="BD97" s="384"/>
      <c r="BE97" s="384"/>
      <c r="BF97" s="384"/>
      <c r="BG97" s="384">
        <f>SUM(BH97:BK97)</f>
        <v>0</v>
      </c>
      <c r="BH97" s="384"/>
      <c r="BI97" s="384"/>
      <c r="BJ97" s="384"/>
      <c r="BK97" s="384"/>
      <c r="BL97" s="384">
        <f>BM97+BN97+BO97+BP97</f>
        <v>0</v>
      </c>
      <c r="BM97" s="384"/>
      <c r="BN97" s="384"/>
      <c r="BO97" s="384"/>
      <c r="BP97" s="384"/>
      <c r="BQ97" s="384">
        <f t="shared" si="82"/>
        <v>0</v>
      </c>
      <c r="BR97" s="384"/>
      <c r="BS97" s="384"/>
      <c r="BT97" s="384"/>
      <c r="BU97" s="386"/>
      <c r="BV97" s="384">
        <f t="shared" si="68"/>
        <v>0</v>
      </c>
    </row>
    <row r="98" spans="1:74" ht="83.45" customHeight="1" x14ac:dyDescent="0.25">
      <c r="A98" s="382" t="s">
        <v>447</v>
      </c>
      <c r="B98" s="388" t="s">
        <v>464</v>
      </c>
      <c r="C98" s="377">
        <v>223</v>
      </c>
      <c r="D98" s="390" t="s">
        <v>668</v>
      </c>
      <c r="E98" s="384">
        <f t="shared" si="72"/>
        <v>0</v>
      </c>
      <c r="F98" s="384"/>
      <c r="G98" s="384"/>
      <c r="H98" s="384"/>
      <c r="I98" s="384">
        <v>0</v>
      </c>
      <c r="J98" s="384">
        <f t="shared" si="77"/>
        <v>0</v>
      </c>
      <c r="K98" s="384"/>
      <c r="L98" s="384"/>
      <c r="M98" s="384"/>
      <c r="N98" s="384"/>
      <c r="O98" s="384">
        <f t="shared" si="78"/>
        <v>0</v>
      </c>
      <c r="P98" s="384"/>
      <c r="Q98" s="384"/>
      <c r="R98" s="384"/>
      <c r="S98" s="384"/>
      <c r="T98" s="384">
        <f t="shared" si="65"/>
        <v>0</v>
      </c>
      <c r="U98" s="384"/>
      <c r="V98" s="384"/>
      <c r="W98" s="384"/>
      <c r="X98" s="384"/>
      <c r="Y98" s="384">
        <f t="shared" si="66"/>
        <v>0</v>
      </c>
      <c r="Z98" s="384"/>
      <c r="AA98" s="384"/>
      <c r="AB98" s="384"/>
      <c r="AC98" s="386"/>
      <c r="AD98" s="384">
        <f t="shared" si="79"/>
        <v>0</v>
      </c>
      <c r="AE98" s="384"/>
      <c r="AF98" s="384"/>
      <c r="AG98" s="384"/>
      <c r="AH98" s="386">
        <v>0</v>
      </c>
      <c r="AI98" s="384">
        <f t="shared" si="80"/>
        <v>0</v>
      </c>
      <c r="AJ98" s="384"/>
      <c r="AK98" s="384"/>
      <c r="AL98" s="384"/>
      <c r="AM98" s="386"/>
      <c r="AN98" s="384">
        <v>0</v>
      </c>
      <c r="AO98" s="384"/>
      <c r="AP98" s="384"/>
      <c r="AQ98" s="384"/>
      <c r="AR98" s="386"/>
      <c r="AS98" s="384">
        <v>0</v>
      </c>
      <c r="AT98" s="384"/>
      <c r="AU98" s="384"/>
      <c r="AV98" s="384"/>
      <c r="AW98" s="386"/>
      <c r="AX98" s="384">
        <f t="shared" si="81"/>
        <v>0</v>
      </c>
      <c r="AY98" s="384"/>
      <c r="AZ98" s="384"/>
      <c r="BA98" s="384"/>
      <c r="BB98" s="386"/>
      <c r="BC98" s="384">
        <f t="shared" si="69"/>
        <v>0</v>
      </c>
      <c r="BD98" s="384"/>
      <c r="BE98" s="384"/>
      <c r="BF98" s="384"/>
      <c r="BG98" s="384">
        <f>SUM(BH98:BK98)</f>
        <v>0</v>
      </c>
      <c r="BH98" s="384"/>
      <c r="BI98" s="384"/>
      <c r="BJ98" s="384"/>
      <c r="BK98" s="384"/>
      <c r="BL98" s="384">
        <f t="shared" si="67"/>
        <v>0</v>
      </c>
      <c r="BM98" s="384"/>
      <c r="BN98" s="384"/>
      <c r="BO98" s="384"/>
      <c r="BP98" s="384"/>
      <c r="BQ98" s="384">
        <f t="shared" si="82"/>
        <v>0</v>
      </c>
      <c r="BR98" s="384"/>
      <c r="BS98" s="384"/>
      <c r="BT98" s="384"/>
      <c r="BU98" s="386"/>
      <c r="BV98" s="384">
        <f t="shared" si="68"/>
        <v>0</v>
      </c>
    </row>
    <row r="99" spans="1:74" ht="63.6" customHeight="1" x14ac:dyDescent="0.25">
      <c r="A99" s="382" t="s">
        <v>456</v>
      </c>
      <c r="B99" s="388" t="s">
        <v>465</v>
      </c>
      <c r="C99" s="377">
        <v>226</v>
      </c>
      <c r="D99" s="390" t="s">
        <v>548</v>
      </c>
      <c r="E99" s="384">
        <f t="shared" si="72"/>
        <v>1060</v>
      </c>
      <c r="F99" s="384"/>
      <c r="G99" s="384"/>
      <c r="H99" s="384"/>
      <c r="I99" s="384">
        <v>1060</v>
      </c>
      <c r="J99" s="384">
        <f t="shared" si="77"/>
        <v>0</v>
      </c>
      <c r="K99" s="384"/>
      <c r="L99" s="384"/>
      <c r="M99" s="384"/>
      <c r="N99" s="384"/>
      <c r="O99" s="384">
        <f t="shared" si="78"/>
        <v>0</v>
      </c>
      <c r="P99" s="384"/>
      <c r="Q99" s="384"/>
      <c r="R99" s="384"/>
      <c r="S99" s="384"/>
      <c r="T99" s="384">
        <f t="shared" si="65"/>
        <v>0</v>
      </c>
      <c r="U99" s="384"/>
      <c r="V99" s="384"/>
      <c r="W99" s="384"/>
      <c r="X99" s="384"/>
      <c r="Y99" s="384">
        <f t="shared" si="66"/>
        <v>0</v>
      </c>
      <c r="Z99" s="384"/>
      <c r="AA99" s="384"/>
      <c r="AB99" s="384"/>
      <c r="AC99" s="386"/>
      <c r="AD99" s="384">
        <f t="shared" si="79"/>
        <v>1060</v>
      </c>
      <c r="AE99" s="384"/>
      <c r="AF99" s="384"/>
      <c r="AG99" s="384"/>
      <c r="AH99" s="386">
        <v>1060</v>
      </c>
      <c r="AI99" s="384">
        <f t="shared" si="80"/>
        <v>0</v>
      </c>
      <c r="AJ99" s="384"/>
      <c r="AK99" s="384"/>
      <c r="AL99" s="384"/>
      <c r="AM99" s="386"/>
      <c r="AN99" s="384">
        <v>0</v>
      </c>
      <c r="AO99" s="384"/>
      <c r="AP99" s="384"/>
      <c r="AQ99" s="384"/>
      <c r="AR99" s="386"/>
      <c r="AS99" s="384">
        <v>0</v>
      </c>
      <c r="AT99" s="384"/>
      <c r="AU99" s="384"/>
      <c r="AV99" s="384"/>
      <c r="AW99" s="386"/>
      <c r="AX99" s="384">
        <f t="shared" si="81"/>
        <v>0</v>
      </c>
      <c r="AY99" s="384"/>
      <c r="AZ99" s="384"/>
      <c r="BA99" s="384"/>
      <c r="BB99" s="386"/>
      <c r="BC99" s="384">
        <f t="shared" si="69"/>
        <v>0</v>
      </c>
      <c r="BD99" s="384"/>
      <c r="BE99" s="384"/>
      <c r="BF99" s="384"/>
      <c r="BG99" s="384">
        <f>SUM(BH99:BK99)</f>
        <v>0</v>
      </c>
      <c r="BH99" s="384"/>
      <c r="BI99" s="384"/>
      <c r="BJ99" s="384"/>
      <c r="BK99" s="384"/>
      <c r="BL99" s="384">
        <f t="shared" si="67"/>
        <v>0</v>
      </c>
      <c r="BM99" s="384"/>
      <c r="BN99" s="384"/>
      <c r="BO99" s="384"/>
      <c r="BP99" s="384"/>
      <c r="BQ99" s="384">
        <f t="shared" si="82"/>
        <v>0</v>
      </c>
      <c r="BR99" s="384"/>
      <c r="BS99" s="384"/>
      <c r="BT99" s="384"/>
      <c r="BU99" s="386"/>
      <c r="BV99" s="384">
        <f t="shared" si="68"/>
        <v>0</v>
      </c>
    </row>
    <row r="100" spans="1:74" ht="82.15" customHeight="1" x14ac:dyDescent="0.25">
      <c r="A100" s="382" t="s">
        <v>466</v>
      </c>
      <c r="B100" s="388" t="s">
        <v>470</v>
      </c>
      <c r="C100" s="377">
        <v>226</v>
      </c>
      <c r="D100" s="390" t="s">
        <v>683</v>
      </c>
      <c r="E100" s="384">
        <f t="shared" si="72"/>
        <v>86625</v>
      </c>
      <c r="F100" s="384"/>
      <c r="G100" s="384"/>
      <c r="H100" s="384"/>
      <c r="I100" s="384">
        <v>86625</v>
      </c>
      <c r="J100" s="384">
        <f t="shared" si="77"/>
        <v>0</v>
      </c>
      <c r="K100" s="384"/>
      <c r="L100" s="384"/>
      <c r="M100" s="384"/>
      <c r="N100" s="384"/>
      <c r="O100" s="384">
        <f t="shared" si="78"/>
        <v>0</v>
      </c>
      <c r="P100" s="384"/>
      <c r="Q100" s="384"/>
      <c r="R100" s="384"/>
      <c r="S100" s="384"/>
      <c r="T100" s="384">
        <f t="shared" si="65"/>
        <v>0</v>
      </c>
      <c r="U100" s="384"/>
      <c r="V100" s="384"/>
      <c r="W100" s="384"/>
      <c r="X100" s="384"/>
      <c r="Y100" s="384">
        <f t="shared" si="66"/>
        <v>0</v>
      </c>
      <c r="Z100" s="384"/>
      <c r="AA100" s="384"/>
      <c r="AB100" s="384"/>
      <c r="AC100" s="386"/>
      <c r="AD100" s="384">
        <f t="shared" ref="AD100:AD102" si="83">SUM(AE100:AH100)</f>
        <v>29925</v>
      </c>
      <c r="AE100" s="384"/>
      <c r="AF100" s="384"/>
      <c r="AG100" s="384"/>
      <c r="AH100" s="386">
        <v>29925</v>
      </c>
      <c r="AI100" s="384">
        <f t="shared" ref="AI100:AI102" si="84">SUM(AJ100:AM100)</f>
        <v>56700</v>
      </c>
      <c r="AJ100" s="384"/>
      <c r="AK100" s="384"/>
      <c r="AL100" s="384"/>
      <c r="AM100" s="386">
        <v>56700</v>
      </c>
      <c r="AN100" s="384">
        <v>0</v>
      </c>
      <c r="AO100" s="384"/>
      <c r="AP100" s="384"/>
      <c r="AQ100" s="384"/>
      <c r="AR100" s="386"/>
      <c r="AS100" s="384">
        <v>0</v>
      </c>
      <c r="AT100" s="384"/>
      <c r="AU100" s="384"/>
      <c r="AV100" s="384"/>
      <c r="AW100" s="386"/>
      <c r="AX100" s="384">
        <f t="shared" ref="AX100:AX102" si="85">SUM(AY100:BB100)</f>
        <v>0</v>
      </c>
      <c r="AY100" s="384"/>
      <c r="AZ100" s="384"/>
      <c r="BA100" s="384"/>
      <c r="BB100" s="386"/>
      <c r="BC100" s="384">
        <f t="shared" si="69"/>
        <v>0</v>
      </c>
      <c r="BD100" s="384"/>
      <c r="BE100" s="384"/>
      <c r="BF100" s="384"/>
      <c r="BG100" s="384">
        <f t="shared" ref="BG100:BG107" si="86">SUM(BH100:BK100)</f>
        <v>0</v>
      </c>
      <c r="BH100" s="384"/>
      <c r="BI100" s="384"/>
      <c r="BJ100" s="384"/>
      <c r="BK100" s="384"/>
      <c r="BL100" s="384">
        <f t="shared" si="67"/>
        <v>0</v>
      </c>
      <c r="BM100" s="384"/>
      <c r="BN100" s="384"/>
      <c r="BO100" s="384"/>
      <c r="BP100" s="384"/>
      <c r="BQ100" s="384">
        <f t="shared" ref="BQ100:BQ102" si="87">SUM(BR100:BU100)</f>
        <v>0</v>
      </c>
      <c r="BR100" s="384"/>
      <c r="BS100" s="384"/>
      <c r="BT100" s="384"/>
      <c r="BU100" s="386"/>
      <c r="BV100" s="384">
        <f t="shared" si="68"/>
        <v>0</v>
      </c>
    </row>
    <row r="101" spans="1:74" ht="45.6" customHeight="1" x14ac:dyDescent="0.25">
      <c r="A101" s="382" t="s">
        <v>468</v>
      </c>
      <c r="B101" s="388" t="s">
        <v>479</v>
      </c>
      <c r="C101" s="377">
        <v>226</v>
      </c>
      <c r="D101" s="390" t="s">
        <v>549</v>
      </c>
      <c r="E101" s="384">
        <v>81000</v>
      </c>
      <c r="F101" s="384"/>
      <c r="G101" s="384"/>
      <c r="H101" s="384"/>
      <c r="I101" s="384">
        <v>81000</v>
      </c>
      <c r="J101" s="384">
        <f t="shared" si="77"/>
        <v>0</v>
      </c>
      <c r="K101" s="384"/>
      <c r="L101" s="384"/>
      <c r="M101" s="384"/>
      <c r="N101" s="384"/>
      <c r="O101" s="384">
        <f t="shared" si="78"/>
        <v>0</v>
      </c>
      <c r="P101" s="384"/>
      <c r="Q101" s="384"/>
      <c r="R101" s="384"/>
      <c r="S101" s="384"/>
      <c r="T101" s="384">
        <f t="shared" si="65"/>
        <v>0</v>
      </c>
      <c r="U101" s="384"/>
      <c r="V101" s="384"/>
      <c r="W101" s="384"/>
      <c r="X101" s="384"/>
      <c r="Y101" s="384">
        <f t="shared" si="66"/>
        <v>0</v>
      </c>
      <c r="Z101" s="384"/>
      <c r="AA101" s="384"/>
      <c r="AB101" s="384"/>
      <c r="AC101" s="386"/>
      <c r="AD101" s="384">
        <f t="shared" si="83"/>
        <v>0</v>
      </c>
      <c r="AE101" s="384"/>
      <c r="AF101" s="384"/>
      <c r="AG101" s="384"/>
      <c r="AH101" s="386">
        <v>0</v>
      </c>
      <c r="AI101" s="384">
        <f t="shared" si="84"/>
        <v>81000</v>
      </c>
      <c r="AJ101" s="384"/>
      <c r="AK101" s="384"/>
      <c r="AL101" s="384"/>
      <c r="AM101" s="386">
        <v>81000</v>
      </c>
      <c r="AN101" s="384">
        <v>0</v>
      </c>
      <c r="AO101" s="384"/>
      <c r="AP101" s="384"/>
      <c r="AQ101" s="384"/>
      <c r="AR101" s="386"/>
      <c r="AS101" s="384">
        <v>0</v>
      </c>
      <c r="AT101" s="384"/>
      <c r="AU101" s="384"/>
      <c r="AV101" s="384"/>
      <c r="AW101" s="386"/>
      <c r="AX101" s="384">
        <f t="shared" si="85"/>
        <v>0</v>
      </c>
      <c r="AY101" s="384"/>
      <c r="AZ101" s="384"/>
      <c r="BA101" s="384"/>
      <c r="BB101" s="386"/>
      <c r="BC101" s="384">
        <f t="shared" si="69"/>
        <v>0</v>
      </c>
      <c r="BD101" s="384"/>
      <c r="BE101" s="384"/>
      <c r="BF101" s="384"/>
      <c r="BG101" s="384">
        <f t="shared" si="86"/>
        <v>0</v>
      </c>
      <c r="BH101" s="384"/>
      <c r="BI101" s="384"/>
      <c r="BJ101" s="384"/>
      <c r="BK101" s="384"/>
      <c r="BL101" s="384">
        <f t="shared" si="67"/>
        <v>0</v>
      </c>
      <c r="BM101" s="384"/>
      <c r="BN101" s="384"/>
      <c r="BO101" s="384"/>
      <c r="BP101" s="384"/>
      <c r="BQ101" s="384">
        <f t="shared" si="87"/>
        <v>0</v>
      </c>
      <c r="BR101" s="384"/>
      <c r="BS101" s="384"/>
      <c r="BT101" s="384"/>
      <c r="BU101" s="386"/>
      <c r="BV101" s="384">
        <f t="shared" si="68"/>
        <v>0</v>
      </c>
    </row>
    <row r="102" spans="1:74" ht="278.25" customHeight="1" x14ac:dyDescent="0.25">
      <c r="A102" s="382" t="s">
        <v>471</v>
      </c>
      <c r="B102" s="388" t="s">
        <v>488</v>
      </c>
      <c r="C102" s="377">
        <v>226</v>
      </c>
      <c r="D102" s="390" t="s">
        <v>716</v>
      </c>
      <c r="E102" s="384">
        <f>I102</f>
        <v>1055172.25</v>
      </c>
      <c r="F102" s="384"/>
      <c r="G102" s="384"/>
      <c r="H102" s="384"/>
      <c r="I102" s="384">
        <v>1055172.25</v>
      </c>
      <c r="J102" s="384">
        <f t="shared" si="77"/>
        <v>0</v>
      </c>
      <c r="K102" s="384"/>
      <c r="L102" s="384"/>
      <c r="M102" s="384"/>
      <c r="N102" s="384"/>
      <c r="O102" s="384">
        <f t="shared" si="78"/>
        <v>0</v>
      </c>
      <c r="P102" s="384"/>
      <c r="Q102" s="384"/>
      <c r="R102" s="384"/>
      <c r="S102" s="384"/>
      <c r="T102" s="384">
        <f t="shared" si="65"/>
        <v>0</v>
      </c>
      <c r="U102" s="384"/>
      <c r="V102" s="384"/>
      <c r="W102" s="384"/>
      <c r="X102" s="384"/>
      <c r="Y102" s="384">
        <f t="shared" si="66"/>
        <v>0</v>
      </c>
      <c r="Z102" s="384"/>
      <c r="AA102" s="384"/>
      <c r="AB102" s="384"/>
      <c r="AC102" s="386"/>
      <c r="AD102" s="384">
        <f t="shared" si="83"/>
        <v>0</v>
      </c>
      <c r="AE102" s="384"/>
      <c r="AF102" s="384"/>
      <c r="AG102" s="384"/>
      <c r="AH102" s="386">
        <v>0</v>
      </c>
      <c r="AI102" s="384">
        <f t="shared" si="84"/>
        <v>0</v>
      </c>
      <c r="AJ102" s="384"/>
      <c r="AK102" s="384"/>
      <c r="AL102" s="384"/>
      <c r="AM102" s="386">
        <v>0</v>
      </c>
      <c r="AN102" s="384">
        <v>0</v>
      </c>
      <c r="AO102" s="384"/>
      <c r="AP102" s="384"/>
      <c r="AQ102" s="384"/>
      <c r="AR102" s="386"/>
      <c r="AS102" s="384">
        <v>1055172.25</v>
      </c>
      <c r="AT102" s="384"/>
      <c r="AU102" s="384"/>
      <c r="AV102" s="384"/>
      <c r="AW102" s="386">
        <v>1055172.25</v>
      </c>
      <c r="AX102" s="384">
        <f t="shared" si="85"/>
        <v>0</v>
      </c>
      <c r="AY102" s="384"/>
      <c r="AZ102" s="384"/>
      <c r="BA102" s="384"/>
      <c r="BB102" s="386"/>
      <c r="BC102" s="384">
        <f t="shared" si="69"/>
        <v>0</v>
      </c>
      <c r="BD102" s="384"/>
      <c r="BE102" s="384"/>
      <c r="BF102" s="384"/>
      <c r="BG102" s="384">
        <f t="shared" si="86"/>
        <v>0</v>
      </c>
      <c r="BH102" s="384"/>
      <c r="BI102" s="384"/>
      <c r="BJ102" s="384"/>
      <c r="BK102" s="384"/>
      <c r="BL102" s="384">
        <f t="shared" si="67"/>
        <v>0</v>
      </c>
      <c r="BM102" s="384"/>
      <c r="BN102" s="384"/>
      <c r="BO102" s="384"/>
      <c r="BP102" s="384"/>
      <c r="BQ102" s="384">
        <f t="shared" si="87"/>
        <v>0</v>
      </c>
      <c r="BR102" s="384"/>
      <c r="BS102" s="384"/>
      <c r="BT102" s="384"/>
      <c r="BU102" s="386"/>
      <c r="BV102" s="384">
        <f t="shared" si="68"/>
        <v>0</v>
      </c>
    </row>
    <row r="103" spans="1:74" ht="40.9" customHeight="1" x14ac:dyDescent="0.25">
      <c r="A103" s="382" t="s">
        <v>480</v>
      </c>
      <c r="B103" s="388" t="s">
        <v>446</v>
      </c>
      <c r="C103" s="377">
        <v>310</v>
      </c>
      <c r="D103" s="390" t="s">
        <v>551</v>
      </c>
      <c r="E103" s="384">
        <f t="shared" si="72"/>
        <v>14424.49</v>
      </c>
      <c r="F103" s="384"/>
      <c r="G103" s="384"/>
      <c r="H103" s="384"/>
      <c r="I103" s="384">
        <v>14424.49</v>
      </c>
      <c r="J103" s="384">
        <f>K103+L103+M103+N103</f>
        <v>0</v>
      </c>
      <c r="K103" s="384"/>
      <c r="L103" s="384"/>
      <c r="M103" s="384"/>
      <c r="N103" s="384"/>
      <c r="O103" s="384">
        <f>P103+Q103+R103+S103</f>
        <v>0</v>
      </c>
      <c r="P103" s="384"/>
      <c r="Q103" s="384"/>
      <c r="R103" s="384"/>
      <c r="S103" s="384"/>
      <c r="T103" s="384">
        <f>U103+V103+W103+X103</f>
        <v>0</v>
      </c>
      <c r="U103" s="384"/>
      <c r="V103" s="384"/>
      <c r="W103" s="384"/>
      <c r="X103" s="384"/>
      <c r="Y103" s="395">
        <f>Z103+AA103+AB103+AC103</f>
        <v>0</v>
      </c>
      <c r="Z103" s="384"/>
      <c r="AA103" s="384"/>
      <c r="AB103" s="384"/>
      <c r="AC103" s="386"/>
      <c r="AD103" s="384">
        <f>SUM(AE103:AH103)</f>
        <v>14424.49</v>
      </c>
      <c r="AE103" s="384"/>
      <c r="AF103" s="384"/>
      <c r="AG103" s="384"/>
      <c r="AH103" s="386">
        <v>14424.49</v>
      </c>
      <c r="AI103" s="384">
        <f>SUM(AJ103:AM103)</f>
        <v>0</v>
      </c>
      <c r="AJ103" s="384"/>
      <c r="AK103" s="384"/>
      <c r="AL103" s="384"/>
      <c r="AM103" s="386"/>
      <c r="AN103" s="384">
        <v>0</v>
      </c>
      <c r="AO103" s="384"/>
      <c r="AP103" s="384"/>
      <c r="AQ103" s="384"/>
      <c r="AR103" s="386"/>
      <c r="AS103" s="384">
        <v>0</v>
      </c>
      <c r="AT103" s="384"/>
      <c r="AU103" s="384"/>
      <c r="AV103" s="384"/>
      <c r="AW103" s="386"/>
      <c r="AX103" s="384">
        <f>SUM(AY103:BB103)</f>
        <v>0</v>
      </c>
      <c r="AY103" s="384"/>
      <c r="AZ103" s="384"/>
      <c r="BA103" s="384"/>
      <c r="BB103" s="386"/>
      <c r="BC103" s="384">
        <f t="shared" si="69"/>
        <v>0</v>
      </c>
      <c r="BD103" s="384"/>
      <c r="BE103" s="384"/>
      <c r="BF103" s="384"/>
      <c r="BG103" s="384">
        <f t="shared" si="86"/>
        <v>0</v>
      </c>
      <c r="BH103" s="384"/>
      <c r="BI103" s="384"/>
      <c r="BJ103" s="384"/>
      <c r="BK103" s="384"/>
      <c r="BL103" s="384">
        <f>BM103+BN103+BO103+BP103</f>
        <v>0</v>
      </c>
      <c r="BM103" s="384"/>
      <c r="BN103" s="384"/>
      <c r="BO103" s="384"/>
      <c r="BP103" s="384"/>
      <c r="BQ103" s="384">
        <f>SUM(BR103:BU103)</f>
        <v>0</v>
      </c>
      <c r="BR103" s="384"/>
      <c r="BS103" s="384"/>
      <c r="BT103" s="384"/>
      <c r="BU103" s="386"/>
      <c r="BV103" s="384">
        <f t="shared" si="68"/>
        <v>0</v>
      </c>
    </row>
    <row r="104" spans="1:74" ht="43.15" customHeight="1" x14ac:dyDescent="0.25">
      <c r="A104" s="382" t="s">
        <v>487</v>
      </c>
      <c r="B104" s="388" t="s">
        <v>451</v>
      </c>
      <c r="C104" s="377">
        <v>290</v>
      </c>
      <c r="D104" s="390"/>
      <c r="E104" s="384">
        <f t="shared" si="72"/>
        <v>70000</v>
      </c>
      <c r="F104" s="384"/>
      <c r="G104" s="384"/>
      <c r="H104" s="384"/>
      <c r="I104" s="384">
        <v>70000</v>
      </c>
      <c r="J104" s="384">
        <f>K104+L104+M104+N104</f>
        <v>0</v>
      </c>
      <c r="K104" s="384"/>
      <c r="L104" s="384"/>
      <c r="M104" s="384"/>
      <c r="N104" s="384"/>
      <c r="O104" s="384">
        <f>P104+Q104+R104+S104</f>
        <v>0</v>
      </c>
      <c r="P104" s="384"/>
      <c r="Q104" s="384"/>
      <c r="R104" s="384"/>
      <c r="S104" s="384"/>
      <c r="T104" s="384">
        <f>U104+V104+W104+X104</f>
        <v>0</v>
      </c>
      <c r="U104" s="384"/>
      <c r="V104" s="384"/>
      <c r="W104" s="384"/>
      <c r="X104" s="384"/>
      <c r="Y104" s="384">
        <f>Z104+AA104+AB104+AC104</f>
        <v>0</v>
      </c>
      <c r="Z104" s="384"/>
      <c r="AA104" s="384"/>
      <c r="AB104" s="384"/>
      <c r="AC104" s="386"/>
      <c r="AD104" s="384">
        <f>SUM(AE104:AH104)</f>
        <v>70000</v>
      </c>
      <c r="AE104" s="384"/>
      <c r="AF104" s="384"/>
      <c r="AG104" s="384"/>
      <c r="AH104" s="386">
        <v>70000</v>
      </c>
      <c r="AI104" s="384">
        <f>SUM(AJ104:AM104)</f>
        <v>0</v>
      </c>
      <c r="AJ104" s="384"/>
      <c r="AK104" s="384"/>
      <c r="AL104" s="384"/>
      <c r="AM104" s="386"/>
      <c r="AN104" s="384">
        <v>0</v>
      </c>
      <c r="AO104" s="384"/>
      <c r="AP104" s="384"/>
      <c r="AQ104" s="384"/>
      <c r="AR104" s="386"/>
      <c r="AS104" s="384">
        <v>0</v>
      </c>
      <c r="AT104" s="384"/>
      <c r="AU104" s="384"/>
      <c r="AV104" s="384"/>
      <c r="AW104" s="386"/>
      <c r="AX104" s="384">
        <f>SUM(AY104:BB104)</f>
        <v>0</v>
      </c>
      <c r="AY104" s="384"/>
      <c r="AZ104" s="384"/>
      <c r="BA104" s="384"/>
      <c r="BB104" s="386"/>
      <c r="BC104" s="384">
        <f t="shared" si="69"/>
        <v>0</v>
      </c>
      <c r="BD104" s="384"/>
      <c r="BE104" s="384"/>
      <c r="BF104" s="384"/>
      <c r="BG104" s="384">
        <f t="shared" si="86"/>
        <v>0</v>
      </c>
      <c r="BH104" s="384"/>
      <c r="BI104" s="384"/>
      <c r="BJ104" s="384"/>
      <c r="BK104" s="384"/>
      <c r="BL104" s="384">
        <f>BM104+BN104+BO104+BP104</f>
        <v>0</v>
      </c>
      <c r="BM104" s="384"/>
      <c r="BN104" s="384"/>
      <c r="BO104" s="384"/>
      <c r="BP104" s="384"/>
      <c r="BQ104" s="384">
        <f>SUM(BR104:BU104)</f>
        <v>0</v>
      </c>
      <c r="BR104" s="384"/>
      <c r="BS104" s="384"/>
      <c r="BT104" s="384"/>
      <c r="BU104" s="386"/>
      <c r="BV104" s="384">
        <f t="shared" si="68"/>
        <v>0</v>
      </c>
    </row>
    <row r="105" spans="1:74" ht="85.9" customHeight="1" x14ac:dyDescent="0.25">
      <c r="A105" s="382" t="s">
        <v>700</v>
      </c>
      <c r="B105" s="388" t="s">
        <v>698</v>
      </c>
      <c r="C105" s="377">
        <v>226</v>
      </c>
      <c r="D105" s="387" t="s">
        <v>703</v>
      </c>
      <c r="E105" s="384">
        <f t="shared" si="72"/>
        <v>1690.14</v>
      </c>
      <c r="F105" s="384"/>
      <c r="G105" s="384"/>
      <c r="H105" s="384"/>
      <c r="I105" s="384">
        <v>1690.14</v>
      </c>
      <c r="J105" s="384">
        <f>K105+L105+M105+N105</f>
        <v>0</v>
      </c>
      <c r="K105" s="384"/>
      <c r="L105" s="384"/>
      <c r="M105" s="384"/>
      <c r="N105" s="384"/>
      <c r="O105" s="384">
        <f>P105+Q105+R105+S105</f>
        <v>0</v>
      </c>
      <c r="P105" s="384"/>
      <c r="Q105" s="384"/>
      <c r="R105" s="384"/>
      <c r="S105" s="384"/>
      <c r="T105" s="384">
        <f>U105+V105+W105+X105</f>
        <v>0</v>
      </c>
      <c r="U105" s="384"/>
      <c r="V105" s="384"/>
      <c r="W105" s="384"/>
      <c r="X105" s="384"/>
      <c r="Y105" s="384">
        <f>Z105+AA105+AB105+AC105</f>
        <v>0</v>
      </c>
      <c r="Z105" s="384"/>
      <c r="AA105" s="384"/>
      <c r="AB105" s="384"/>
      <c r="AC105" s="386"/>
      <c r="AD105" s="384">
        <f>SUM(AE105:AH105)</f>
        <v>0</v>
      </c>
      <c r="AE105" s="384"/>
      <c r="AF105" s="384"/>
      <c r="AG105" s="384"/>
      <c r="AH105" s="386"/>
      <c r="AI105" s="384">
        <f>SUM(AJ105:AM105)</f>
        <v>0</v>
      </c>
      <c r="AJ105" s="384"/>
      <c r="AK105" s="384"/>
      <c r="AL105" s="384"/>
      <c r="AM105" s="386"/>
      <c r="AN105" s="384">
        <v>1690.14</v>
      </c>
      <c r="AO105" s="384"/>
      <c r="AP105" s="384"/>
      <c r="AQ105" s="384"/>
      <c r="AR105" s="386">
        <v>1690.14</v>
      </c>
      <c r="AS105" s="384">
        <v>0</v>
      </c>
      <c r="AT105" s="384"/>
      <c r="AU105" s="384"/>
      <c r="AV105" s="384"/>
      <c r="AW105" s="386"/>
      <c r="AX105" s="384">
        <f>SUM(AY105:BB105)</f>
        <v>0</v>
      </c>
      <c r="AY105" s="384"/>
      <c r="AZ105" s="384"/>
      <c r="BA105" s="384"/>
      <c r="BB105" s="386"/>
      <c r="BC105" s="384">
        <f t="shared" si="69"/>
        <v>0</v>
      </c>
      <c r="BD105" s="384"/>
      <c r="BE105" s="384"/>
      <c r="BF105" s="384"/>
      <c r="BG105" s="384">
        <f t="shared" si="86"/>
        <v>0</v>
      </c>
      <c r="BH105" s="384"/>
      <c r="BI105" s="384"/>
      <c r="BJ105" s="384"/>
      <c r="BK105" s="384"/>
      <c r="BL105" s="384">
        <f>BM105+BN105+BO105+BP105</f>
        <v>0</v>
      </c>
      <c r="BM105" s="384"/>
      <c r="BN105" s="384"/>
      <c r="BO105" s="384"/>
      <c r="BP105" s="384"/>
      <c r="BQ105" s="384">
        <f>SUM(BR105:BU105)</f>
        <v>0</v>
      </c>
      <c r="BR105" s="384"/>
      <c r="BS105" s="384"/>
      <c r="BT105" s="384"/>
      <c r="BU105" s="386"/>
      <c r="BV105" s="384">
        <f t="shared" si="68"/>
        <v>0</v>
      </c>
    </row>
    <row r="106" spans="1:74" ht="85.9" customHeight="1" x14ac:dyDescent="0.25">
      <c r="A106" s="382" t="s">
        <v>711</v>
      </c>
      <c r="B106" s="383" t="s">
        <v>708</v>
      </c>
      <c r="C106" s="374">
        <v>226</v>
      </c>
      <c r="D106" s="387" t="s">
        <v>717</v>
      </c>
      <c r="E106" s="384">
        <f t="shared" si="72"/>
        <v>2110.34</v>
      </c>
      <c r="F106" s="384"/>
      <c r="G106" s="384"/>
      <c r="H106" s="384"/>
      <c r="I106" s="384">
        <v>2110.34</v>
      </c>
      <c r="J106" s="384">
        <v>0</v>
      </c>
      <c r="K106" s="384"/>
      <c r="L106" s="384"/>
      <c r="M106" s="384"/>
      <c r="N106" s="384"/>
      <c r="O106" s="384">
        <v>0</v>
      </c>
      <c r="P106" s="384"/>
      <c r="Q106" s="384"/>
      <c r="R106" s="384"/>
      <c r="S106" s="384"/>
      <c r="T106" s="384">
        <v>0</v>
      </c>
      <c r="U106" s="384"/>
      <c r="V106" s="384"/>
      <c r="W106" s="384"/>
      <c r="X106" s="384"/>
      <c r="Y106" s="384">
        <v>0</v>
      </c>
      <c r="Z106" s="384"/>
      <c r="AA106" s="384"/>
      <c r="AB106" s="384"/>
      <c r="AC106" s="386"/>
      <c r="AD106" s="384">
        <v>0</v>
      </c>
      <c r="AE106" s="384"/>
      <c r="AF106" s="384"/>
      <c r="AG106" s="384"/>
      <c r="AH106" s="386"/>
      <c r="AI106" s="384">
        <v>0</v>
      </c>
      <c r="AJ106" s="384"/>
      <c r="AK106" s="384"/>
      <c r="AL106" s="384"/>
      <c r="AM106" s="386"/>
      <c r="AN106" s="384">
        <v>0</v>
      </c>
      <c r="AO106" s="384"/>
      <c r="AP106" s="384"/>
      <c r="AQ106" s="384"/>
      <c r="AR106" s="386">
        <v>0</v>
      </c>
      <c r="AS106" s="384">
        <v>2110.34</v>
      </c>
      <c r="AT106" s="384"/>
      <c r="AU106" s="384"/>
      <c r="AV106" s="384"/>
      <c r="AW106" s="386">
        <v>2110.34</v>
      </c>
      <c r="AX106" s="384">
        <f>SUM(AY106:BB106)</f>
        <v>0</v>
      </c>
      <c r="AY106" s="384"/>
      <c r="AZ106" s="384"/>
      <c r="BA106" s="384"/>
      <c r="BB106" s="384"/>
      <c r="BC106" s="384">
        <f t="shared" si="69"/>
        <v>0</v>
      </c>
      <c r="BD106" s="384"/>
      <c r="BE106" s="384"/>
      <c r="BF106" s="384"/>
      <c r="BG106" s="384">
        <f t="shared" si="86"/>
        <v>0</v>
      </c>
      <c r="BH106" s="384"/>
      <c r="BI106" s="384"/>
      <c r="BJ106" s="384"/>
      <c r="BK106" s="384"/>
      <c r="BL106" s="384">
        <f>BM106+BN106+BO106+BP106</f>
        <v>0</v>
      </c>
      <c r="BM106" s="384"/>
      <c r="BN106" s="384"/>
      <c r="BO106" s="384"/>
      <c r="BP106" s="384"/>
      <c r="BQ106" s="384">
        <f>SUM(BR106:BU106)</f>
        <v>0</v>
      </c>
      <c r="BR106" s="384"/>
      <c r="BS106" s="384"/>
      <c r="BT106" s="384"/>
      <c r="BU106" s="384"/>
      <c r="BV106" s="384">
        <f t="shared" si="68"/>
        <v>0</v>
      </c>
    </row>
    <row r="107" spans="1:74" ht="85.9" customHeight="1" x14ac:dyDescent="0.25">
      <c r="A107" s="382" t="s">
        <v>724</v>
      </c>
      <c r="B107" s="383" t="s">
        <v>721</v>
      </c>
      <c r="C107" s="374">
        <v>226</v>
      </c>
      <c r="D107" s="387" t="s">
        <v>725</v>
      </c>
      <c r="E107" s="384">
        <f t="shared" si="72"/>
        <v>34716.699999999997</v>
      </c>
      <c r="F107" s="384"/>
      <c r="G107" s="384"/>
      <c r="H107" s="384"/>
      <c r="I107" s="384">
        <v>34716.699999999997</v>
      </c>
      <c r="J107" s="384">
        <v>0</v>
      </c>
      <c r="K107" s="384"/>
      <c r="L107" s="384"/>
      <c r="M107" s="384"/>
      <c r="N107" s="384"/>
      <c r="O107" s="384">
        <v>0</v>
      </c>
      <c r="P107" s="384"/>
      <c r="Q107" s="384"/>
      <c r="R107" s="384"/>
      <c r="S107" s="384"/>
      <c r="T107" s="384">
        <v>0</v>
      </c>
      <c r="U107" s="384"/>
      <c r="V107" s="384"/>
      <c r="W107" s="384"/>
      <c r="X107" s="384"/>
      <c r="Y107" s="384">
        <v>0</v>
      </c>
      <c r="Z107" s="384"/>
      <c r="AA107" s="384"/>
      <c r="AB107" s="384"/>
      <c r="AC107" s="386"/>
      <c r="AD107" s="384">
        <v>0</v>
      </c>
      <c r="AE107" s="384"/>
      <c r="AF107" s="384"/>
      <c r="AG107" s="384"/>
      <c r="AH107" s="386"/>
      <c r="AI107" s="384">
        <v>0</v>
      </c>
      <c r="AJ107" s="384"/>
      <c r="AK107" s="384"/>
      <c r="AL107" s="384"/>
      <c r="AM107" s="386"/>
      <c r="AN107" s="384">
        <v>0</v>
      </c>
      <c r="AO107" s="384"/>
      <c r="AP107" s="384"/>
      <c r="AQ107" s="384"/>
      <c r="AR107" s="386">
        <v>0</v>
      </c>
      <c r="AS107" s="384">
        <v>34716.699999999997</v>
      </c>
      <c r="AT107" s="384"/>
      <c r="AU107" s="384"/>
      <c r="AV107" s="384"/>
      <c r="AW107" s="386">
        <v>34716.699999999997</v>
      </c>
      <c r="AX107" s="384">
        <f>SUM(AY107:BB107)</f>
        <v>0</v>
      </c>
      <c r="AY107" s="384"/>
      <c r="AZ107" s="384"/>
      <c r="BA107" s="384"/>
      <c r="BB107" s="384"/>
      <c r="BC107" s="384">
        <f t="shared" si="69"/>
        <v>0</v>
      </c>
      <c r="BD107" s="384"/>
      <c r="BE107" s="384"/>
      <c r="BF107" s="384"/>
      <c r="BG107" s="384">
        <f t="shared" si="86"/>
        <v>0</v>
      </c>
      <c r="BH107" s="384"/>
      <c r="BI107" s="384"/>
      <c r="BJ107" s="384"/>
      <c r="BK107" s="384"/>
      <c r="BL107" s="384">
        <f>BM107+BN107+BO107+BP107</f>
        <v>0</v>
      </c>
      <c r="BM107" s="384"/>
      <c r="BN107" s="384"/>
      <c r="BO107" s="384"/>
      <c r="BP107" s="384"/>
      <c r="BQ107" s="384">
        <f>SUM(BR107:BU107)</f>
        <v>0</v>
      </c>
      <c r="BR107" s="384"/>
      <c r="BS107" s="384"/>
      <c r="BT107" s="384"/>
      <c r="BU107" s="384"/>
      <c r="BV107" s="384">
        <f t="shared" si="68"/>
        <v>0</v>
      </c>
    </row>
    <row r="108" spans="1:74" ht="33.6" customHeight="1" x14ac:dyDescent="0.25">
      <c r="A108" s="382" t="s">
        <v>37</v>
      </c>
      <c r="B108" s="391" t="s">
        <v>756</v>
      </c>
      <c r="C108" s="374"/>
      <c r="D108" s="374"/>
      <c r="E108" s="384">
        <f>SUM(E109:E131)</f>
        <v>113460256.05000001</v>
      </c>
      <c r="F108" s="384">
        <f t="shared" ref="F108:AR108" si="88">SUM(F109:F131)</f>
        <v>15666392.52</v>
      </c>
      <c r="G108" s="384">
        <f t="shared" si="88"/>
        <v>37873664.079999998</v>
      </c>
      <c r="H108" s="384">
        <f t="shared" si="88"/>
        <v>4542963.3899999997</v>
      </c>
      <c r="I108" s="384">
        <f t="shared" si="88"/>
        <v>55377236.059999995</v>
      </c>
      <c r="J108" s="384">
        <f t="shared" si="88"/>
        <v>211789.5</v>
      </c>
      <c r="K108" s="384">
        <f t="shared" si="88"/>
        <v>0</v>
      </c>
      <c r="L108" s="384">
        <f t="shared" si="88"/>
        <v>0</v>
      </c>
      <c r="M108" s="384">
        <f t="shared" si="88"/>
        <v>0</v>
      </c>
      <c r="N108" s="384">
        <f t="shared" si="88"/>
        <v>211789.5</v>
      </c>
      <c r="O108" s="384">
        <f t="shared" si="88"/>
        <v>22341113.879999995</v>
      </c>
      <c r="P108" s="384">
        <f t="shared" si="88"/>
        <v>4768213.3</v>
      </c>
      <c r="Q108" s="384">
        <f t="shared" si="88"/>
        <v>11528928.029999999</v>
      </c>
      <c r="R108" s="384">
        <f t="shared" si="88"/>
        <v>1382552.02</v>
      </c>
      <c r="S108" s="384">
        <f t="shared" si="88"/>
        <v>4661420.5299999993</v>
      </c>
      <c r="T108" s="384">
        <f t="shared" si="88"/>
        <v>81381173.559999987</v>
      </c>
      <c r="U108" s="384">
        <f t="shared" si="88"/>
        <v>10898179.220000001</v>
      </c>
      <c r="V108" s="384">
        <f t="shared" si="88"/>
        <v>26344736.050000001</v>
      </c>
      <c r="W108" s="384">
        <f t="shared" si="88"/>
        <v>3160411.37</v>
      </c>
      <c r="X108" s="384">
        <f t="shared" si="88"/>
        <v>40977846.920000002</v>
      </c>
      <c r="Y108" s="384">
        <f t="shared" si="88"/>
        <v>2875091.96</v>
      </c>
      <c r="Z108" s="384">
        <f t="shared" si="88"/>
        <v>0</v>
      </c>
      <c r="AA108" s="384">
        <f t="shared" si="88"/>
        <v>0</v>
      </c>
      <c r="AB108" s="384">
        <f t="shared" si="88"/>
        <v>0</v>
      </c>
      <c r="AC108" s="384">
        <f t="shared" si="88"/>
        <v>2875091.96</v>
      </c>
      <c r="AD108" s="384">
        <f t="shared" si="88"/>
        <v>1571747.14</v>
      </c>
      <c r="AE108" s="384">
        <f t="shared" si="88"/>
        <v>0</v>
      </c>
      <c r="AF108" s="384">
        <f t="shared" si="88"/>
        <v>0</v>
      </c>
      <c r="AG108" s="384">
        <f t="shared" si="88"/>
        <v>0</v>
      </c>
      <c r="AH108" s="384">
        <f t="shared" si="88"/>
        <v>1571747.14</v>
      </c>
      <c r="AI108" s="384">
        <f t="shared" si="88"/>
        <v>3937916.2399999998</v>
      </c>
      <c r="AJ108" s="384">
        <f t="shared" si="88"/>
        <v>0</v>
      </c>
      <c r="AK108" s="384">
        <f t="shared" si="88"/>
        <v>0</v>
      </c>
      <c r="AL108" s="384">
        <f t="shared" si="88"/>
        <v>0</v>
      </c>
      <c r="AM108" s="384">
        <f t="shared" si="88"/>
        <v>3937916.2399999998</v>
      </c>
      <c r="AN108" s="384">
        <f t="shared" si="88"/>
        <v>1830.99</v>
      </c>
      <c r="AO108" s="384">
        <f t="shared" si="88"/>
        <v>0</v>
      </c>
      <c r="AP108" s="384">
        <f t="shared" si="88"/>
        <v>0</v>
      </c>
      <c r="AQ108" s="384">
        <f t="shared" si="88"/>
        <v>0</v>
      </c>
      <c r="AR108" s="384">
        <f t="shared" si="88"/>
        <v>1830.99</v>
      </c>
      <c r="AS108" s="384">
        <v>1139592.78</v>
      </c>
      <c r="AT108" s="384">
        <v>0</v>
      </c>
      <c r="AU108" s="384">
        <v>0</v>
      </c>
      <c r="AV108" s="384">
        <v>0</v>
      </c>
      <c r="AW108" s="384">
        <v>1139592.78</v>
      </c>
      <c r="AX108" s="384">
        <f t="shared" ref="AX108:BC108" si="89">SUM(AX109:AX131)</f>
        <v>0</v>
      </c>
      <c r="AY108" s="384">
        <f t="shared" si="89"/>
        <v>0</v>
      </c>
      <c r="AZ108" s="384">
        <f t="shared" si="89"/>
        <v>0</v>
      </c>
      <c r="BA108" s="384">
        <f t="shared" si="89"/>
        <v>0</v>
      </c>
      <c r="BB108" s="384">
        <f t="shared" si="89"/>
        <v>0</v>
      </c>
      <c r="BC108" s="384">
        <f t="shared" si="89"/>
        <v>9.0803951025009155E-9</v>
      </c>
      <c r="BD108" s="384">
        <f t="shared" ref="BD108:BF108" si="90">SUM(BD109:BD130)</f>
        <v>1586.9</v>
      </c>
      <c r="BE108" s="384">
        <f t="shared" si="90"/>
        <v>1706.9</v>
      </c>
      <c r="BF108" s="384">
        <f t="shared" si="90"/>
        <v>1879.4</v>
      </c>
      <c r="BG108" s="384">
        <f t="shared" ref="BG108:BV108" si="91">SUM(BG109:BG131)</f>
        <v>0</v>
      </c>
      <c r="BH108" s="384">
        <f t="shared" si="91"/>
        <v>0</v>
      </c>
      <c r="BI108" s="384">
        <f t="shared" si="91"/>
        <v>0</v>
      </c>
      <c r="BJ108" s="384">
        <f t="shared" si="91"/>
        <v>0</v>
      </c>
      <c r="BK108" s="384">
        <f t="shared" si="91"/>
        <v>0</v>
      </c>
      <c r="BL108" s="384">
        <f t="shared" si="91"/>
        <v>0</v>
      </c>
      <c r="BM108" s="384">
        <f t="shared" si="91"/>
        <v>0</v>
      </c>
      <c r="BN108" s="384">
        <f t="shared" si="91"/>
        <v>0</v>
      </c>
      <c r="BO108" s="384">
        <f t="shared" si="91"/>
        <v>0</v>
      </c>
      <c r="BP108" s="384">
        <f t="shared" si="91"/>
        <v>0</v>
      </c>
      <c r="BQ108" s="384">
        <f t="shared" si="91"/>
        <v>0</v>
      </c>
      <c r="BR108" s="384">
        <f t="shared" si="91"/>
        <v>0</v>
      </c>
      <c r="BS108" s="384">
        <f t="shared" si="91"/>
        <v>0</v>
      </c>
      <c r="BT108" s="384">
        <f t="shared" si="91"/>
        <v>0</v>
      </c>
      <c r="BU108" s="384">
        <f t="shared" si="91"/>
        <v>0</v>
      </c>
      <c r="BV108" s="384">
        <f t="shared" si="91"/>
        <v>9.0803951025009155E-9</v>
      </c>
    </row>
    <row r="109" spans="1:74" ht="189" customHeight="1" x14ac:dyDescent="0.25">
      <c r="A109" s="382" t="s">
        <v>72</v>
      </c>
      <c r="B109" s="383" t="s">
        <v>32</v>
      </c>
      <c r="C109" s="374">
        <v>310</v>
      </c>
      <c r="D109" s="387" t="s">
        <v>552</v>
      </c>
      <c r="E109" s="384">
        <f>F109+G109+H109+I109</f>
        <v>105191880</v>
      </c>
      <c r="F109" s="384">
        <v>15666392.52</v>
      </c>
      <c r="G109" s="384">
        <v>37873664.079999998</v>
      </c>
      <c r="H109" s="384">
        <v>4542963.3899999997</v>
      </c>
      <c r="I109" s="384">
        <v>47108860.009999998</v>
      </c>
      <c r="J109" s="384">
        <f t="shared" ref="J109:J130" si="92">K109+L109+M109+N109</f>
        <v>0</v>
      </c>
      <c r="K109" s="384"/>
      <c r="L109" s="384"/>
      <c r="M109" s="384"/>
      <c r="N109" s="384"/>
      <c r="O109" s="384">
        <f t="shared" si="78"/>
        <v>17679693.349999998</v>
      </c>
      <c r="P109" s="384">
        <v>4768213.3</v>
      </c>
      <c r="Q109" s="384">
        <v>11528928.029999999</v>
      </c>
      <c r="R109" s="384">
        <v>1382552.02</v>
      </c>
      <c r="S109" s="384">
        <v>0</v>
      </c>
      <c r="T109" s="384">
        <f t="shared" ref="T109:T130" si="93">U109+V109+W109+X109</f>
        <v>80331459.659999996</v>
      </c>
      <c r="U109" s="384">
        <v>10898179.220000001</v>
      </c>
      <c r="V109" s="384">
        <v>26344736.050000001</v>
      </c>
      <c r="W109" s="384">
        <v>3160411.37</v>
      </c>
      <c r="X109" s="384">
        <v>39928133.020000003</v>
      </c>
      <c r="Y109" s="384">
        <f>Z109+AA109+AB109+AC109</f>
        <v>1967765.48</v>
      </c>
      <c r="Z109" s="384"/>
      <c r="AA109" s="384"/>
      <c r="AB109" s="384"/>
      <c r="AC109" s="386">
        <f>1614653.86+353111.62</f>
        <v>1967765.48</v>
      </c>
      <c r="AD109" s="384">
        <f t="shared" ref="AD109:AD122" si="94">SUM(AE109:AH109)</f>
        <v>1500000</v>
      </c>
      <c r="AE109" s="384"/>
      <c r="AF109" s="384"/>
      <c r="AG109" s="384"/>
      <c r="AH109" s="386">
        <v>1500000</v>
      </c>
      <c r="AI109" s="384">
        <f t="shared" ref="AI109:AI122" si="95">SUM(AJ109:AM109)</f>
        <v>3712961.51</v>
      </c>
      <c r="AJ109" s="384"/>
      <c r="AK109" s="384"/>
      <c r="AL109" s="384"/>
      <c r="AM109" s="386">
        <v>3712961.51</v>
      </c>
      <c r="AN109" s="384">
        <v>0</v>
      </c>
      <c r="AO109" s="384"/>
      <c r="AP109" s="384"/>
      <c r="AQ109" s="384"/>
      <c r="AR109" s="386"/>
      <c r="AS109" s="384">
        <v>0</v>
      </c>
      <c r="AT109" s="384"/>
      <c r="AU109" s="384"/>
      <c r="AV109" s="384"/>
      <c r="AW109" s="386"/>
      <c r="AX109" s="384">
        <f t="shared" ref="AX109:AX122" si="96">SUM(AY109:BB109)</f>
        <v>0</v>
      </c>
      <c r="AY109" s="384"/>
      <c r="AZ109" s="384"/>
      <c r="BA109" s="384"/>
      <c r="BB109" s="386"/>
      <c r="BC109" s="384">
        <f>E109-J109-O109-T109-Y109-AD109-AI109-AN109-AS109-AX109</f>
        <v>9.3132257461547852E-9</v>
      </c>
      <c r="BD109" s="384">
        <v>1586.9</v>
      </c>
      <c r="BE109" s="384">
        <v>1706.9</v>
      </c>
      <c r="BF109" s="384">
        <v>1879.4</v>
      </c>
      <c r="BG109" s="384">
        <f t="shared" ref="BG109:BG125" si="97">SUM(BH109:BK109)</f>
        <v>0</v>
      </c>
      <c r="BH109" s="384"/>
      <c r="BI109" s="384"/>
      <c r="BJ109" s="384"/>
      <c r="BK109" s="384"/>
      <c r="BL109" s="384">
        <f t="shared" si="67"/>
        <v>0</v>
      </c>
      <c r="BM109" s="384"/>
      <c r="BN109" s="384"/>
      <c r="BO109" s="384"/>
      <c r="BP109" s="384"/>
      <c r="BQ109" s="384">
        <f t="shared" ref="BQ109:BQ125" si="98">SUM(BR109:BU109)</f>
        <v>0</v>
      </c>
      <c r="BR109" s="384"/>
      <c r="BS109" s="384"/>
      <c r="BT109" s="384"/>
      <c r="BU109" s="386"/>
      <c r="BV109" s="384">
        <f t="shared" ref="BV109:BV131" si="99">BC109-BQ109</f>
        <v>9.3132257461547852E-9</v>
      </c>
    </row>
    <row r="110" spans="1:74" ht="32.450000000000003" customHeight="1" x14ac:dyDescent="0.25">
      <c r="A110" s="382" t="s">
        <v>73</v>
      </c>
      <c r="B110" s="383" t="s">
        <v>10</v>
      </c>
      <c r="C110" s="374">
        <v>226</v>
      </c>
      <c r="D110" s="387" t="s">
        <v>553</v>
      </c>
      <c r="E110" s="384">
        <f>F110+G110+H110+I110</f>
        <v>5000</v>
      </c>
      <c r="F110" s="384"/>
      <c r="G110" s="384"/>
      <c r="H110" s="384"/>
      <c r="I110" s="384">
        <v>5000</v>
      </c>
      <c r="J110" s="384">
        <f t="shared" si="92"/>
        <v>5000</v>
      </c>
      <c r="K110" s="384"/>
      <c r="L110" s="384"/>
      <c r="M110" s="384"/>
      <c r="N110" s="384">
        <v>5000</v>
      </c>
      <c r="O110" s="384">
        <f t="shared" si="78"/>
        <v>0</v>
      </c>
      <c r="P110" s="384"/>
      <c r="Q110" s="384"/>
      <c r="R110" s="384"/>
      <c r="S110" s="384"/>
      <c r="T110" s="384">
        <f t="shared" si="93"/>
        <v>0</v>
      </c>
      <c r="U110" s="384"/>
      <c r="V110" s="384"/>
      <c r="W110" s="384"/>
      <c r="X110" s="384"/>
      <c r="Y110" s="384">
        <f t="shared" ref="Y110:Y148" si="100">Z110+AA110+AB110+AC110</f>
        <v>0</v>
      </c>
      <c r="Z110" s="384"/>
      <c r="AA110" s="384"/>
      <c r="AB110" s="384"/>
      <c r="AC110" s="386"/>
      <c r="AD110" s="384">
        <f t="shared" si="94"/>
        <v>0</v>
      </c>
      <c r="AE110" s="384"/>
      <c r="AF110" s="384"/>
      <c r="AG110" s="384"/>
      <c r="AH110" s="386"/>
      <c r="AI110" s="384">
        <f t="shared" si="95"/>
        <v>0</v>
      </c>
      <c r="AJ110" s="384"/>
      <c r="AK110" s="384"/>
      <c r="AL110" s="384"/>
      <c r="AM110" s="386"/>
      <c r="AN110" s="384">
        <v>0</v>
      </c>
      <c r="AO110" s="384"/>
      <c r="AP110" s="384"/>
      <c r="AQ110" s="384"/>
      <c r="AR110" s="386"/>
      <c r="AS110" s="384">
        <v>0</v>
      </c>
      <c r="AT110" s="384"/>
      <c r="AU110" s="384"/>
      <c r="AV110" s="384"/>
      <c r="AW110" s="386"/>
      <c r="AX110" s="384">
        <f t="shared" si="96"/>
        <v>0</v>
      </c>
      <c r="AY110" s="384"/>
      <c r="AZ110" s="384"/>
      <c r="BA110" s="384"/>
      <c r="BB110" s="386"/>
      <c r="BC110" s="384">
        <f t="shared" ref="BC110:BC131" si="101">E110-J110-O110-T110-Y110-AD110-AI110-AN110-AS110-AX110</f>
        <v>0</v>
      </c>
      <c r="BD110" s="384"/>
      <c r="BE110" s="384"/>
      <c r="BF110" s="384"/>
      <c r="BG110" s="384">
        <f t="shared" si="97"/>
        <v>0</v>
      </c>
      <c r="BH110" s="384"/>
      <c r="BI110" s="384"/>
      <c r="BJ110" s="384"/>
      <c r="BK110" s="384"/>
      <c r="BL110" s="384">
        <f t="shared" si="67"/>
        <v>0</v>
      </c>
      <c r="BM110" s="384"/>
      <c r="BN110" s="384"/>
      <c r="BO110" s="384"/>
      <c r="BP110" s="384"/>
      <c r="BQ110" s="384">
        <f t="shared" si="98"/>
        <v>0</v>
      </c>
      <c r="BR110" s="384"/>
      <c r="BS110" s="384"/>
      <c r="BT110" s="384"/>
      <c r="BU110" s="386"/>
      <c r="BV110" s="384">
        <f t="shared" si="99"/>
        <v>0</v>
      </c>
    </row>
    <row r="111" spans="1:74" ht="32.450000000000003" customHeight="1" x14ac:dyDescent="0.25">
      <c r="A111" s="382" t="s">
        <v>74</v>
      </c>
      <c r="B111" s="383" t="s">
        <v>8</v>
      </c>
      <c r="C111" s="374">
        <v>226</v>
      </c>
      <c r="D111" s="387" t="s">
        <v>554</v>
      </c>
      <c r="E111" s="384">
        <f t="shared" ref="E111:E131" si="102">F111+G111+H111+I111</f>
        <v>7500</v>
      </c>
      <c r="F111" s="384"/>
      <c r="G111" s="384"/>
      <c r="H111" s="384"/>
      <c r="I111" s="384">
        <v>7500</v>
      </c>
      <c r="J111" s="384">
        <f t="shared" si="92"/>
        <v>0</v>
      </c>
      <c r="K111" s="384"/>
      <c r="L111" s="384"/>
      <c r="M111" s="384"/>
      <c r="N111" s="384"/>
      <c r="O111" s="384">
        <f t="shared" si="78"/>
        <v>7500</v>
      </c>
      <c r="P111" s="384"/>
      <c r="Q111" s="384"/>
      <c r="R111" s="384"/>
      <c r="S111" s="384">
        <v>7500</v>
      </c>
      <c r="T111" s="384">
        <f t="shared" si="93"/>
        <v>0</v>
      </c>
      <c r="U111" s="384"/>
      <c r="V111" s="384"/>
      <c r="W111" s="384"/>
      <c r="X111" s="384"/>
      <c r="Y111" s="384">
        <f t="shared" si="100"/>
        <v>0</v>
      </c>
      <c r="Z111" s="384"/>
      <c r="AA111" s="384"/>
      <c r="AB111" s="384"/>
      <c r="AC111" s="386"/>
      <c r="AD111" s="384">
        <f t="shared" si="94"/>
        <v>0</v>
      </c>
      <c r="AE111" s="384"/>
      <c r="AF111" s="384"/>
      <c r="AG111" s="384"/>
      <c r="AH111" s="386"/>
      <c r="AI111" s="384">
        <f t="shared" si="95"/>
        <v>0</v>
      </c>
      <c r="AJ111" s="384"/>
      <c r="AK111" s="384"/>
      <c r="AL111" s="384"/>
      <c r="AM111" s="386"/>
      <c r="AN111" s="384">
        <v>0</v>
      </c>
      <c r="AO111" s="384"/>
      <c r="AP111" s="384"/>
      <c r="AQ111" s="384"/>
      <c r="AR111" s="386"/>
      <c r="AS111" s="384">
        <v>0</v>
      </c>
      <c r="AT111" s="384"/>
      <c r="AU111" s="384"/>
      <c r="AV111" s="384"/>
      <c r="AW111" s="386"/>
      <c r="AX111" s="384">
        <f t="shared" si="96"/>
        <v>0</v>
      </c>
      <c r="AY111" s="384"/>
      <c r="AZ111" s="384"/>
      <c r="BA111" s="384"/>
      <c r="BB111" s="386"/>
      <c r="BC111" s="384">
        <f t="shared" si="101"/>
        <v>0</v>
      </c>
      <c r="BD111" s="384"/>
      <c r="BE111" s="384"/>
      <c r="BF111" s="384"/>
      <c r="BG111" s="384">
        <f t="shared" si="97"/>
        <v>0</v>
      </c>
      <c r="BH111" s="384"/>
      <c r="BI111" s="384"/>
      <c r="BJ111" s="384"/>
      <c r="BK111" s="384"/>
      <c r="BL111" s="384">
        <f t="shared" si="67"/>
        <v>0</v>
      </c>
      <c r="BM111" s="384"/>
      <c r="BN111" s="384"/>
      <c r="BO111" s="384"/>
      <c r="BP111" s="384"/>
      <c r="BQ111" s="384">
        <f t="shared" si="98"/>
        <v>0</v>
      </c>
      <c r="BR111" s="384"/>
      <c r="BS111" s="384"/>
      <c r="BT111" s="384"/>
      <c r="BU111" s="386"/>
      <c r="BV111" s="384">
        <f t="shared" si="99"/>
        <v>0</v>
      </c>
    </row>
    <row r="112" spans="1:74" ht="44.45" customHeight="1" x14ac:dyDescent="0.25">
      <c r="A112" s="382" t="s">
        <v>75</v>
      </c>
      <c r="B112" s="383" t="s">
        <v>1</v>
      </c>
      <c r="C112" s="374">
        <v>226</v>
      </c>
      <c r="D112" s="387" t="s">
        <v>555</v>
      </c>
      <c r="E112" s="384">
        <f t="shared" si="102"/>
        <v>206789.5</v>
      </c>
      <c r="F112" s="384"/>
      <c r="G112" s="384"/>
      <c r="H112" s="384"/>
      <c r="I112" s="384">
        <v>206789.5</v>
      </c>
      <c r="J112" s="384">
        <f t="shared" si="92"/>
        <v>206789.5</v>
      </c>
      <c r="K112" s="384"/>
      <c r="L112" s="384"/>
      <c r="M112" s="384"/>
      <c r="N112" s="384">
        <v>206789.5</v>
      </c>
      <c r="O112" s="384">
        <f t="shared" si="78"/>
        <v>0</v>
      </c>
      <c r="P112" s="384"/>
      <c r="Q112" s="384"/>
      <c r="R112" s="384"/>
      <c r="S112" s="384"/>
      <c r="T112" s="384">
        <f t="shared" si="93"/>
        <v>0</v>
      </c>
      <c r="U112" s="384"/>
      <c r="V112" s="384"/>
      <c r="W112" s="384"/>
      <c r="X112" s="384"/>
      <c r="Y112" s="384">
        <f t="shared" si="100"/>
        <v>0</v>
      </c>
      <c r="Z112" s="384"/>
      <c r="AA112" s="384"/>
      <c r="AB112" s="384"/>
      <c r="AC112" s="386"/>
      <c r="AD112" s="384">
        <f t="shared" si="94"/>
        <v>0</v>
      </c>
      <c r="AE112" s="384"/>
      <c r="AF112" s="384"/>
      <c r="AG112" s="384"/>
      <c r="AH112" s="386"/>
      <c r="AI112" s="384">
        <f t="shared" si="95"/>
        <v>0</v>
      </c>
      <c r="AJ112" s="384"/>
      <c r="AK112" s="384"/>
      <c r="AL112" s="384"/>
      <c r="AM112" s="386"/>
      <c r="AN112" s="384">
        <v>0</v>
      </c>
      <c r="AO112" s="384"/>
      <c r="AP112" s="384"/>
      <c r="AQ112" s="384"/>
      <c r="AR112" s="386"/>
      <c r="AS112" s="384">
        <v>0</v>
      </c>
      <c r="AT112" s="384"/>
      <c r="AU112" s="384"/>
      <c r="AV112" s="384"/>
      <c r="AW112" s="386"/>
      <c r="AX112" s="384">
        <f t="shared" si="96"/>
        <v>0</v>
      </c>
      <c r="AY112" s="384"/>
      <c r="AZ112" s="384"/>
      <c r="BA112" s="384"/>
      <c r="BB112" s="386"/>
      <c r="BC112" s="384">
        <f t="shared" si="101"/>
        <v>0</v>
      </c>
      <c r="BD112" s="384"/>
      <c r="BE112" s="384"/>
      <c r="BF112" s="384"/>
      <c r="BG112" s="384">
        <f t="shared" si="97"/>
        <v>0</v>
      </c>
      <c r="BH112" s="384"/>
      <c r="BI112" s="384"/>
      <c r="BJ112" s="384"/>
      <c r="BK112" s="384"/>
      <c r="BL112" s="384">
        <f t="shared" si="67"/>
        <v>0</v>
      </c>
      <c r="BM112" s="384"/>
      <c r="BN112" s="384"/>
      <c r="BO112" s="384"/>
      <c r="BP112" s="384"/>
      <c r="BQ112" s="384">
        <f t="shared" si="98"/>
        <v>0</v>
      </c>
      <c r="BR112" s="384"/>
      <c r="BS112" s="384"/>
      <c r="BT112" s="384"/>
      <c r="BU112" s="386"/>
      <c r="BV112" s="384">
        <f t="shared" si="99"/>
        <v>0</v>
      </c>
    </row>
    <row r="113" spans="1:74" ht="32.450000000000003" customHeight="1" x14ac:dyDescent="0.25">
      <c r="A113" s="382" t="s">
        <v>76</v>
      </c>
      <c r="B113" s="383" t="s">
        <v>1</v>
      </c>
      <c r="C113" s="374">
        <v>226</v>
      </c>
      <c r="D113" s="387" t="s">
        <v>556</v>
      </c>
      <c r="E113" s="384">
        <f t="shared" si="102"/>
        <v>19644.400000000001</v>
      </c>
      <c r="F113" s="384"/>
      <c r="G113" s="384"/>
      <c r="H113" s="384"/>
      <c r="I113" s="384">
        <v>19644.400000000001</v>
      </c>
      <c r="J113" s="384">
        <f t="shared" si="92"/>
        <v>0</v>
      </c>
      <c r="K113" s="384"/>
      <c r="L113" s="384"/>
      <c r="M113" s="384"/>
      <c r="N113" s="384"/>
      <c r="O113" s="384">
        <f t="shared" si="78"/>
        <v>19644.400000000001</v>
      </c>
      <c r="P113" s="384"/>
      <c r="Q113" s="384"/>
      <c r="R113" s="384"/>
      <c r="S113" s="384">
        <v>19644.400000000001</v>
      </c>
      <c r="T113" s="384">
        <f t="shared" si="93"/>
        <v>0</v>
      </c>
      <c r="U113" s="384"/>
      <c r="V113" s="384"/>
      <c r="W113" s="384"/>
      <c r="X113" s="384"/>
      <c r="Y113" s="384">
        <f t="shared" si="100"/>
        <v>0</v>
      </c>
      <c r="Z113" s="384"/>
      <c r="AA113" s="384"/>
      <c r="AB113" s="384"/>
      <c r="AC113" s="386"/>
      <c r="AD113" s="384">
        <f t="shared" si="94"/>
        <v>0</v>
      </c>
      <c r="AE113" s="384"/>
      <c r="AF113" s="384"/>
      <c r="AG113" s="384"/>
      <c r="AH113" s="386"/>
      <c r="AI113" s="384">
        <f t="shared" si="95"/>
        <v>0</v>
      </c>
      <c r="AJ113" s="384"/>
      <c r="AK113" s="384"/>
      <c r="AL113" s="384"/>
      <c r="AM113" s="386"/>
      <c r="AN113" s="384">
        <v>0</v>
      </c>
      <c r="AO113" s="384"/>
      <c r="AP113" s="384"/>
      <c r="AQ113" s="384"/>
      <c r="AR113" s="386"/>
      <c r="AS113" s="384">
        <v>0</v>
      </c>
      <c r="AT113" s="384"/>
      <c r="AU113" s="384"/>
      <c r="AV113" s="384"/>
      <c r="AW113" s="386"/>
      <c r="AX113" s="384">
        <f t="shared" si="96"/>
        <v>0</v>
      </c>
      <c r="AY113" s="384"/>
      <c r="AZ113" s="384"/>
      <c r="BA113" s="384"/>
      <c r="BB113" s="386"/>
      <c r="BC113" s="384">
        <f t="shared" si="101"/>
        <v>0</v>
      </c>
      <c r="BD113" s="384"/>
      <c r="BE113" s="384"/>
      <c r="BF113" s="384"/>
      <c r="BG113" s="384">
        <f t="shared" si="97"/>
        <v>0</v>
      </c>
      <c r="BH113" s="384"/>
      <c r="BI113" s="384"/>
      <c r="BJ113" s="384"/>
      <c r="BK113" s="384"/>
      <c r="BL113" s="384">
        <f t="shared" si="67"/>
        <v>0</v>
      </c>
      <c r="BM113" s="384"/>
      <c r="BN113" s="384"/>
      <c r="BO113" s="384"/>
      <c r="BP113" s="384"/>
      <c r="BQ113" s="384">
        <f t="shared" si="98"/>
        <v>0</v>
      </c>
      <c r="BR113" s="384"/>
      <c r="BS113" s="384"/>
      <c r="BT113" s="384"/>
      <c r="BU113" s="386"/>
      <c r="BV113" s="384">
        <f t="shared" si="99"/>
        <v>0</v>
      </c>
    </row>
    <row r="114" spans="1:74" ht="32.450000000000003" customHeight="1" x14ac:dyDescent="0.25">
      <c r="A114" s="382" t="s">
        <v>77</v>
      </c>
      <c r="B114" s="383" t="s">
        <v>378</v>
      </c>
      <c r="C114" s="374">
        <v>226</v>
      </c>
      <c r="D114" s="387" t="s">
        <v>493</v>
      </c>
      <c r="E114" s="384">
        <f t="shared" si="102"/>
        <v>19869</v>
      </c>
      <c r="F114" s="384"/>
      <c r="G114" s="384"/>
      <c r="H114" s="384"/>
      <c r="I114" s="384">
        <v>19869</v>
      </c>
      <c r="J114" s="384">
        <f t="shared" si="92"/>
        <v>0</v>
      </c>
      <c r="K114" s="384"/>
      <c r="L114" s="384"/>
      <c r="M114" s="384"/>
      <c r="N114" s="384"/>
      <c r="O114" s="384">
        <f t="shared" si="78"/>
        <v>0</v>
      </c>
      <c r="P114" s="384"/>
      <c r="Q114" s="384"/>
      <c r="R114" s="384"/>
      <c r="S114" s="384"/>
      <c r="T114" s="384">
        <f t="shared" si="93"/>
        <v>0</v>
      </c>
      <c r="U114" s="384"/>
      <c r="V114" s="384"/>
      <c r="W114" s="384"/>
      <c r="X114" s="384"/>
      <c r="Y114" s="384">
        <f t="shared" si="100"/>
        <v>19869</v>
      </c>
      <c r="Z114" s="384"/>
      <c r="AA114" s="384"/>
      <c r="AB114" s="384"/>
      <c r="AC114" s="386">
        <v>19869</v>
      </c>
      <c r="AD114" s="384">
        <f t="shared" si="94"/>
        <v>0</v>
      </c>
      <c r="AE114" s="384"/>
      <c r="AF114" s="384"/>
      <c r="AG114" s="384"/>
      <c r="AH114" s="386"/>
      <c r="AI114" s="384">
        <f t="shared" si="95"/>
        <v>0</v>
      </c>
      <c r="AJ114" s="384"/>
      <c r="AK114" s="384"/>
      <c r="AL114" s="384"/>
      <c r="AM114" s="386"/>
      <c r="AN114" s="384">
        <v>0</v>
      </c>
      <c r="AO114" s="384"/>
      <c r="AP114" s="384"/>
      <c r="AQ114" s="384"/>
      <c r="AR114" s="386"/>
      <c r="AS114" s="384">
        <v>0</v>
      </c>
      <c r="AT114" s="384"/>
      <c r="AU114" s="384"/>
      <c r="AV114" s="384"/>
      <c r="AW114" s="386"/>
      <c r="AX114" s="384">
        <f t="shared" si="96"/>
        <v>0</v>
      </c>
      <c r="AY114" s="384"/>
      <c r="AZ114" s="384"/>
      <c r="BA114" s="384"/>
      <c r="BB114" s="386"/>
      <c r="BC114" s="384">
        <f t="shared" si="101"/>
        <v>0</v>
      </c>
      <c r="BD114" s="384"/>
      <c r="BE114" s="384"/>
      <c r="BF114" s="384"/>
      <c r="BG114" s="384">
        <f t="shared" si="97"/>
        <v>0</v>
      </c>
      <c r="BH114" s="384"/>
      <c r="BI114" s="384"/>
      <c r="BJ114" s="384"/>
      <c r="BK114" s="384"/>
      <c r="BL114" s="384">
        <f t="shared" si="67"/>
        <v>0</v>
      </c>
      <c r="BM114" s="384"/>
      <c r="BN114" s="384"/>
      <c r="BO114" s="384"/>
      <c r="BP114" s="384"/>
      <c r="BQ114" s="384">
        <f t="shared" si="98"/>
        <v>0</v>
      </c>
      <c r="BR114" s="384"/>
      <c r="BS114" s="384"/>
      <c r="BT114" s="384"/>
      <c r="BU114" s="386"/>
      <c r="BV114" s="384">
        <f t="shared" si="99"/>
        <v>0</v>
      </c>
    </row>
    <row r="115" spans="1:74" ht="43.15" customHeight="1" x14ac:dyDescent="0.25">
      <c r="A115" s="382" t="s">
        <v>78</v>
      </c>
      <c r="B115" s="383" t="s">
        <v>11</v>
      </c>
      <c r="C115" s="374">
        <v>226</v>
      </c>
      <c r="D115" s="387" t="s">
        <v>557</v>
      </c>
      <c r="E115" s="384">
        <f t="shared" si="102"/>
        <v>1524947.4</v>
      </c>
      <c r="F115" s="384"/>
      <c r="G115" s="384"/>
      <c r="H115" s="384"/>
      <c r="I115" s="384">
        <v>1524947.4</v>
      </c>
      <c r="J115" s="384">
        <f t="shared" si="92"/>
        <v>0</v>
      </c>
      <c r="K115" s="384"/>
      <c r="L115" s="384"/>
      <c r="M115" s="384"/>
      <c r="N115" s="384"/>
      <c r="O115" s="384">
        <f t="shared" si="78"/>
        <v>1524947.4</v>
      </c>
      <c r="P115" s="384"/>
      <c r="Q115" s="384"/>
      <c r="R115" s="384"/>
      <c r="S115" s="384">
        <v>1524947.4</v>
      </c>
      <c r="T115" s="384">
        <f t="shared" si="93"/>
        <v>0</v>
      </c>
      <c r="U115" s="384"/>
      <c r="V115" s="384"/>
      <c r="W115" s="384"/>
      <c r="X115" s="384"/>
      <c r="Y115" s="384">
        <f t="shared" si="100"/>
        <v>0</v>
      </c>
      <c r="Z115" s="384"/>
      <c r="AA115" s="384"/>
      <c r="AB115" s="384"/>
      <c r="AC115" s="386"/>
      <c r="AD115" s="384">
        <f t="shared" si="94"/>
        <v>0</v>
      </c>
      <c r="AE115" s="384"/>
      <c r="AF115" s="384"/>
      <c r="AG115" s="384"/>
      <c r="AH115" s="386"/>
      <c r="AI115" s="384">
        <f t="shared" si="95"/>
        <v>0</v>
      </c>
      <c r="AJ115" s="384"/>
      <c r="AK115" s="384"/>
      <c r="AL115" s="384"/>
      <c r="AM115" s="386"/>
      <c r="AN115" s="384">
        <v>0</v>
      </c>
      <c r="AO115" s="384"/>
      <c r="AP115" s="384"/>
      <c r="AQ115" s="384"/>
      <c r="AR115" s="386"/>
      <c r="AS115" s="384">
        <v>0</v>
      </c>
      <c r="AT115" s="384"/>
      <c r="AU115" s="384"/>
      <c r="AV115" s="384"/>
      <c r="AW115" s="386"/>
      <c r="AX115" s="384">
        <f t="shared" si="96"/>
        <v>0</v>
      </c>
      <c r="AY115" s="384"/>
      <c r="AZ115" s="384"/>
      <c r="BA115" s="384"/>
      <c r="BB115" s="386"/>
      <c r="BC115" s="384">
        <f t="shared" si="101"/>
        <v>0</v>
      </c>
      <c r="BD115" s="384"/>
      <c r="BE115" s="384"/>
      <c r="BF115" s="384"/>
      <c r="BG115" s="384">
        <f t="shared" si="97"/>
        <v>0</v>
      </c>
      <c r="BH115" s="384"/>
      <c r="BI115" s="384"/>
      <c r="BJ115" s="384"/>
      <c r="BK115" s="384"/>
      <c r="BL115" s="384">
        <f t="shared" si="67"/>
        <v>0</v>
      </c>
      <c r="BM115" s="384"/>
      <c r="BN115" s="384"/>
      <c r="BO115" s="384"/>
      <c r="BP115" s="384"/>
      <c r="BQ115" s="384">
        <f t="shared" si="98"/>
        <v>0</v>
      </c>
      <c r="BR115" s="384"/>
      <c r="BS115" s="384"/>
      <c r="BT115" s="384"/>
      <c r="BU115" s="386"/>
      <c r="BV115" s="384">
        <f t="shared" si="99"/>
        <v>0</v>
      </c>
    </row>
    <row r="116" spans="1:74" ht="43.15" customHeight="1" x14ac:dyDescent="0.25">
      <c r="A116" s="382" t="s">
        <v>79</v>
      </c>
      <c r="B116" s="383" t="s">
        <v>20</v>
      </c>
      <c r="C116" s="374">
        <v>226</v>
      </c>
      <c r="D116" s="387" t="s">
        <v>558</v>
      </c>
      <c r="E116" s="384">
        <f t="shared" si="102"/>
        <v>166120.6</v>
      </c>
      <c r="F116" s="384"/>
      <c r="G116" s="384"/>
      <c r="H116" s="384"/>
      <c r="I116" s="384">
        <v>166120.6</v>
      </c>
      <c r="J116" s="384">
        <f t="shared" si="92"/>
        <v>0</v>
      </c>
      <c r="K116" s="384"/>
      <c r="L116" s="384"/>
      <c r="M116" s="384"/>
      <c r="N116" s="384"/>
      <c r="O116" s="384">
        <f t="shared" si="78"/>
        <v>19577.61</v>
      </c>
      <c r="P116" s="384"/>
      <c r="Q116" s="384"/>
      <c r="R116" s="384"/>
      <c r="S116" s="384">
        <v>19577.61</v>
      </c>
      <c r="T116" s="384">
        <f t="shared" si="93"/>
        <v>146542.99</v>
      </c>
      <c r="U116" s="384"/>
      <c r="V116" s="384"/>
      <c r="W116" s="384"/>
      <c r="X116" s="384">
        <v>146542.99</v>
      </c>
      <c r="Y116" s="384">
        <f t="shared" si="100"/>
        <v>0</v>
      </c>
      <c r="Z116" s="384"/>
      <c r="AA116" s="384"/>
      <c r="AB116" s="384"/>
      <c r="AC116" s="386"/>
      <c r="AD116" s="384">
        <f t="shared" si="94"/>
        <v>0</v>
      </c>
      <c r="AE116" s="384"/>
      <c r="AF116" s="384"/>
      <c r="AG116" s="384"/>
      <c r="AH116" s="386"/>
      <c r="AI116" s="384">
        <f t="shared" si="95"/>
        <v>0</v>
      </c>
      <c r="AJ116" s="384"/>
      <c r="AK116" s="384"/>
      <c r="AL116" s="384"/>
      <c r="AM116" s="386"/>
      <c r="AN116" s="384">
        <v>0</v>
      </c>
      <c r="AO116" s="384"/>
      <c r="AP116" s="384"/>
      <c r="AQ116" s="384"/>
      <c r="AR116" s="386"/>
      <c r="AS116" s="384">
        <v>0</v>
      </c>
      <c r="AT116" s="384"/>
      <c r="AU116" s="384"/>
      <c r="AV116" s="384"/>
      <c r="AW116" s="386"/>
      <c r="AX116" s="384">
        <f t="shared" si="96"/>
        <v>0</v>
      </c>
      <c r="AY116" s="384"/>
      <c r="AZ116" s="384"/>
      <c r="BA116" s="384"/>
      <c r="BB116" s="386"/>
      <c r="BC116" s="384">
        <f t="shared" si="101"/>
        <v>0</v>
      </c>
      <c r="BD116" s="384"/>
      <c r="BE116" s="384"/>
      <c r="BF116" s="384"/>
      <c r="BG116" s="384">
        <f t="shared" si="97"/>
        <v>0</v>
      </c>
      <c r="BH116" s="384"/>
      <c r="BI116" s="384"/>
      <c r="BJ116" s="384"/>
      <c r="BK116" s="384"/>
      <c r="BL116" s="384">
        <f t="shared" si="67"/>
        <v>0</v>
      </c>
      <c r="BM116" s="384"/>
      <c r="BN116" s="384"/>
      <c r="BO116" s="384"/>
      <c r="BP116" s="384"/>
      <c r="BQ116" s="384">
        <f t="shared" si="98"/>
        <v>0</v>
      </c>
      <c r="BR116" s="384"/>
      <c r="BS116" s="384"/>
      <c r="BT116" s="384"/>
      <c r="BU116" s="386"/>
      <c r="BV116" s="384">
        <f t="shared" si="99"/>
        <v>0</v>
      </c>
    </row>
    <row r="117" spans="1:74" ht="45.6" customHeight="1" x14ac:dyDescent="0.25">
      <c r="A117" s="382" t="s">
        <v>80</v>
      </c>
      <c r="B117" s="383" t="s">
        <v>12</v>
      </c>
      <c r="C117" s="374">
        <v>226</v>
      </c>
      <c r="D117" s="387" t="s">
        <v>559</v>
      </c>
      <c r="E117" s="384">
        <f t="shared" si="102"/>
        <v>635026.84</v>
      </c>
      <c r="F117" s="384"/>
      <c r="G117" s="384"/>
      <c r="H117" s="384"/>
      <c r="I117" s="384">
        <v>635026.84</v>
      </c>
      <c r="J117" s="384">
        <f t="shared" si="92"/>
        <v>0</v>
      </c>
      <c r="K117" s="384"/>
      <c r="L117" s="384"/>
      <c r="M117" s="384"/>
      <c r="N117" s="384"/>
      <c r="O117" s="384">
        <f t="shared" si="78"/>
        <v>190508.05</v>
      </c>
      <c r="P117" s="384"/>
      <c r="Q117" s="384"/>
      <c r="R117" s="384"/>
      <c r="S117" s="384">
        <v>190508.05</v>
      </c>
      <c r="T117" s="384">
        <f t="shared" si="93"/>
        <v>0</v>
      </c>
      <c r="U117" s="384"/>
      <c r="V117" s="384"/>
      <c r="W117" s="384"/>
      <c r="X117" s="384"/>
      <c r="Y117" s="384">
        <f t="shared" si="100"/>
        <v>444518.79</v>
      </c>
      <c r="Z117" s="384"/>
      <c r="AA117" s="384"/>
      <c r="AB117" s="384"/>
      <c r="AC117" s="386">
        <v>444518.79</v>
      </c>
      <c r="AD117" s="384">
        <f t="shared" si="94"/>
        <v>0</v>
      </c>
      <c r="AE117" s="384"/>
      <c r="AF117" s="384"/>
      <c r="AG117" s="384"/>
      <c r="AH117" s="386"/>
      <c r="AI117" s="384">
        <f t="shared" si="95"/>
        <v>0</v>
      </c>
      <c r="AJ117" s="384"/>
      <c r="AK117" s="384"/>
      <c r="AL117" s="384"/>
      <c r="AM117" s="386"/>
      <c r="AN117" s="384">
        <v>0</v>
      </c>
      <c r="AO117" s="384"/>
      <c r="AP117" s="384"/>
      <c r="AQ117" s="384"/>
      <c r="AR117" s="386"/>
      <c r="AS117" s="384">
        <v>0</v>
      </c>
      <c r="AT117" s="384"/>
      <c r="AU117" s="384"/>
      <c r="AV117" s="384"/>
      <c r="AW117" s="386"/>
      <c r="AX117" s="384">
        <f t="shared" si="96"/>
        <v>0</v>
      </c>
      <c r="AY117" s="384"/>
      <c r="AZ117" s="384"/>
      <c r="BA117" s="384"/>
      <c r="BB117" s="386"/>
      <c r="BC117" s="384">
        <f t="shared" si="101"/>
        <v>0</v>
      </c>
      <c r="BD117" s="384"/>
      <c r="BE117" s="384"/>
      <c r="BF117" s="384"/>
      <c r="BG117" s="384">
        <f t="shared" si="97"/>
        <v>0</v>
      </c>
      <c r="BH117" s="384"/>
      <c r="BI117" s="384"/>
      <c r="BJ117" s="384"/>
      <c r="BK117" s="384"/>
      <c r="BL117" s="384">
        <f t="shared" si="67"/>
        <v>0</v>
      </c>
      <c r="BM117" s="384"/>
      <c r="BN117" s="384"/>
      <c r="BO117" s="384"/>
      <c r="BP117" s="384"/>
      <c r="BQ117" s="384">
        <f t="shared" si="98"/>
        <v>0</v>
      </c>
      <c r="BR117" s="384"/>
      <c r="BS117" s="384"/>
      <c r="BT117" s="384"/>
      <c r="BU117" s="386"/>
      <c r="BV117" s="384">
        <f t="shared" si="99"/>
        <v>0</v>
      </c>
    </row>
    <row r="118" spans="1:74" ht="42" customHeight="1" x14ac:dyDescent="0.25">
      <c r="A118" s="382" t="s">
        <v>81</v>
      </c>
      <c r="B118" s="383" t="s">
        <v>13</v>
      </c>
      <c r="C118" s="374">
        <v>226</v>
      </c>
      <c r="D118" s="387" t="s">
        <v>560</v>
      </c>
      <c r="E118" s="384">
        <f t="shared" si="102"/>
        <v>1147182.98</v>
      </c>
      <c r="F118" s="384"/>
      <c r="G118" s="384"/>
      <c r="H118" s="384"/>
      <c r="I118" s="384">
        <v>1147182.98</v>
      </c>
      <c r="J118" s="384">
        <f t="shared" si="92"/>
        <v>0</v>
      </c>
      <c r="K118" s="384"/>
      <c r="L118" s="384"/>
      <c r="M118" s="384"/>
      <c r="N118" s="384"/>
      <c r="O118" s="384">
        <f t="shared" si="78"/>
        <v>745668.94</v>
      </c>
      <c r="P118" s="384"/>
      <c r="Q118" s="384"/>
      <c r="R118" s="384"/>
      <c r="S118" s="384">
        <v>745668.94</v>
      </c>
      <c r="T118" s="384">
        <f t="shared" si="93"/>
        <v>401514.04</v>
      </c>
      <c r="U118" s="384"/>
      <c r="V118" s="384"/>
      <c r="W118" s="384"/>
      <c r="X118" s="384">
        <v>401514.04</v>
      </c>
      <c r="Y118" s="384">
        <f t="shared" si="100"/>
        <v>0</v>
      </c>
      <c r="Z118" s="384"/>
      <c r="AA118" s="384"/>
      <c r="AB118" s="384"/>
      <c r="AC118" s="386"/>
      <c r="AD118" s="384">
        <f t="shared" si="94"/>
        <v>0</v>
      </c>
      <c r="AE118" s="384"/>
      <c r="AF118" s="384"/>
      <c r="AG118" s="384"/>
      <c r="AH118" s="386"/>
      <c r="AI118" s="384">
        <f t="shared" si="95"/>
        <v>0</v>
      </c>
      <c r="AJ118" s="384"/>
      <c r="AK118" s="384"/>
      <c r="AL118" s="384"/>
      <c r="AM118" s="386"/>
      <c r="AN118" s="384">
        <v>0</v>
      </c>
      <c r="AO118" s="384"/>
      <c r="AP118" s="384"/>
      <c r="AQ118" s="384"/>
      <c r="AR118" s="386"/>
      <c r="AS118" s="384">
        <v>0</v>
      </c>
      <c r="AT118" s="384"/>
      <c r="AU118" s="384"/>
      <c r="AV118" s="384"/>
      <c r="AW118" s="386"/>
      <c r="AX118" s="384">
        <f t="shared" si="96"/>
        <v>0</v>
      </c>
      <c r="AY118" s="384"/>
      <c r="AZ118" s="384"/>
      <c r="BA118" s="384"/>
      <c r="BB118" s="386"/>
      <c r="BC118" s="384">
        <f t="shared" si="101"/>
        <v>5.8207660913467407E-11</v>
      </c>
      <c r="BD118" s="384"/>
      <c r="BE118" s="384"/>
      <c r="BF118" s="384"/>
      <c r="BG118" s="384">
        <f t="shared" si="97"/>
        <v>0</v>
      </c>
      <c r="BH118" s="384"/>
      <c r="BI118" s="384"/>
      <c r="BJ118" s="384"/>
      <c r="BK118" s="384"/>
      <c r="BL118" s="384">
        <f t="shared" si="67"/>
        <v>0</v>
      </c>
      <c r="BM118" s="384"/>
      <c r="BN118" s="384"/>
      <c r="BO118" s="384"/>
      <c r="BP118" s="384"/>
      <c r="BQ118" s="384">
        <f t="shared" si="98"/>
        <v>0</v>
      </c>
      <c r="BR118" s="384"/>
      <c r="BS118" s="384"/>
      <c r="BT118" s="384"/>
      <c r="BU118" s="386"/>
      <c r="BV118" s="384">
        <f t="shared" si="99"/>
        <v>5.8207660913467407E-11</v>
      </c>
    </row>
    <row r="119" spans="1:74" ht="40.9" customHeight="1" x14ac:dyDescent="0.25">
      <c r="A119" s="382" t="s">
        <v>82</v>
      </c>
      <c r="B119" s="383" t="s">
        <v>15</v>
      </c>
      <c r="C119" s="374">
        <v>226</v>
      </c>
      <c r="D119" s="387" t="s">
        <v>561</v>
      </c>
      <c r="E119" s="384">
        <f t="shared" si="102"/>
        <v>1249622.03</v>
      </c>
      <c r="F119" s="384"/>
      <c r="G119" s="384"/>
      <c r="H119" s="384"/>
      <c r="I119" s="384">
        <v>1249622.03</v>
      </c>
      <c r="J119" s="384">
        <f t="shared" si="92"/>
        <v>0</v>
      </c>
      <c r="K119" s="384"/>
      <c r="L119" s="384"/>
      <c r="M119" s="384"/>
      <c r="N119" s="384"/>
      <c r="O119" s="384">
        <f t="shared" si="78"/>
        <v>812254.32</v>
      </c>
      <c r="P119" s="384"/>
      <c r="Q119" s="384"/>
      <c r="R119" s="384"/>
      <c r="S119" s="384">
        <v>812254.32</v>
      </c>
      <c r="T119" s="384">
        <f t="shared" si="93"/>
        <v>437367.71</v>
      </c>
      <c r="U119" s="384"/>
      <c r="V119" s="384"/>
      <c r="W119" s="384"/>
      <c r="X119" s="384">
        <v>437367.71</v>
      </c>
      <c r="Y119" s="384">
        <f t="shared" si="100"/>
        <v>0</v>
      </c>
      <c r="Z119" s="384"/>
      <c r="AA119" s="384"/>
      <c r="AB119" s="384"/>
      <c r="AC119" s="386"/>
      <c r="AD119" s="384">
        <f t="shared" si="94"/>
        <v>0</v>
      </c>
      <c r="AE119" s="384"/>
      <c r="AF119" s="384"/>
      <c r="AG119" s="384"/>
      <c r="AH119" s="386"/>
      <c r="AI119" s="384">
        <f t="shared" si="95"/>
        <v>0</v>
      </c>
      <c r="AJ119" s="384"/>
      <c r="AK119" s="384"/>
      <c r="AL119" s="384"/>
      <c r="AM119" s="386"/>
      <c r="AN119" s="384">
        <v>0</v>
      </c>
      <c r="AO119" s="384"/>
      <c r="AP119" s="384"/>
      <c r="AQ119" s="384"/>
      <c r="AR119" s="386"/>
      <c r="AS119" s="384">
        <v>0</v>
      </c>
      <c r="AT119" s="384"/>
      <c r="AU119" s="384"/>
      <c r="AV119" s="384"/>
      <c r="AW119" s="386"/>
      <c r="AX119" s="384">
        <f t="shared" si="96"/>
        <v>0</v>
      </c>
      <c r="AY119" s="384"/>
      <c r="AZ119" s="384"/>
      <c r="BA119" s="384"/>
      <c r="BB119" s="386"/>
      <c r="BC119" s="384">
        <f t="shared" si="101"/>
        <v>5.8207660913467407E-11</v>
      </c>
      <c r="BD119" s="384"/>
      <c r="BE119" s="384"/>
      <c r="BF119" s="384"/>
      <c r="BG119" s="384">
        <f t="shared" si="97"/>
        <v>0</v>
      </c>
      <c r="BH119" s="384"/>
      <c r="BI119" s="384"/>
      <c r="BJ119" s="384"/>
      <c r="BK119" s="384"/>
      <c r="BL119" s="384">
        <f t="shared" si="67"/>
        <v>0</v>
      </c>
      <c r="BM119" s="384"/>
      <c r="BN119" s="384"/>
      <c r="BO119" s="384"/>
      <c r="BP119" s="384"/>
      <c r="BQ119" s="384">
        <f t="shared" si="98"/>
        <v>0</v>
      </c>
      <c r="BR119" s="384"/>
      <c r="BS119" s="384"/>
      <c r="BT119" s="384"/>
      <c r="BU119" s="386"/>
      <c r="BV119" s="384">
        <f t="shared" si="99"/>
        <v>5.8207660913467407E-11</v>
      </c>
    </row>
    <row r="120" spans="1:74" ht="37.9" customHeight="1" x14ac:dyDescent="0.25">
      <c r="A120" s="382" t="s">
        <v>212</v>
      </c>
      <c r="B120" s="383" t="s">
        <v>14</v>
      </c>
      <c r="C120" s="374">
        <v>226</v>
      </c>
      <c r="D120" s="387" t="s">
        <v>603</v>
      </c>
      <c r="E120" s="384">
        <f t="shared" si="102"/>
        <v>1723724.67</v>
      </c>
      <c r="F120" s="384"/>
      <c r="G120" s="384"/>
      <c r="H120" s="384"/>
      <c r="I120" s="384">
        <v>1723724.67</v>
      </c>
      <c r="J120" s="384">
        <f t="shared" si="92"/>
        <v>0</v>
      </c>
      <c r="K120" s="384"/>
      <c r="L120" s="384"/>
      <c r="M120" s="384"/>
      <c r="N120" s="384"/>
      <c r="O120" s="384">
        <f t="shared" si="78"/>
        <v>1341319.81</v>
      </c>
      <c r="P120" s="384"/>
      <c r="Q120" s="384"/>
      <c r="R120" s="384"/>
      <c r="S120" s="384">
        <v>1341319.81</v>
      </c>
      <c r="T120" s="384">
        <f t="shared" si="93"/>
        <v>0</v>
      </c>
      <c r="U120" s="384"/>
      <c r="V120" s="384"/>
      <c r="W120" s="384"/>
      <c r="X120" s="384"/>
      <c r="Y120" s="384">
        <f t="shared" si="100"/>
        <v>382404.86</v>
      </c>
      <c r="Z120" s="384"/>
      <c r="AA120" s="384"/>
      <c r="AB120" s="384"/>
      <c r="AC120" s="386">
        <v>382404.86</v>
      </c>
      <c r="AD120" s="384">
        <f t="shared" si="94"/>
        <v>0</v>
      </c>
      <c r="AE120" s="384"/>
      <c r="AF120" s="384"/>
      <c r="AG120" s="384"/>
      <c r="AH120" s="386"/>
      <c r="AI120" s="384">
        <f t="shared" si="95"/>
        <v>0</v>
      </c>
      <c r="AJ120" s="384"/>
      <c r="AK120" s="384"/>
      <c r="AL120" s="384"/>
      <c r="AM120" s="386"/>
      <c r="AN120" s="384">
        <v>0</v>
      </c>
      <c r="AO120" s="384"/>
      <c r="AP120" s="384"/>
      <c r="AQ120" s="384"/>
      <c r="AR120" s="386"/>
      <c r="AS120" s="384">
        <v>0</v>
      </c>
      <c r="AT120" s="384"/>
      <c r="AU120" s="384"/>
      <c r="AV120" s="384"/>
      <c r="AW120" s="386"/>
      <c r="AX120" s="384">
        <f t="shared" si="96"/>
        <v>0</v>
      </c>
      <c r="AY120" s="384"/>
      <c r="AZ120" s="384"/>
      <c r="BA120" s="384"/>
      <c r="BB120" s="386"/>
      <c r="BC120" s="384">
        <f t="shared" si="101"/>
        <v>-1.1641532182693481E-10</v>
      </c>
      <c r="BD120" s="384"/>
      <c r="BE120" s="384"/>
      <c r="BF120" s="384"/>
      <c r="BG120" s="384">
        <f t="shared" si="97"/>
        <v>0</v>
      </c>
      <c r="BH120" s="384"/>
      <c r="BI120" s="384"/>
      <c r="BJ120" s="384"/>
      <c r="BK120" s="384"/>
      <c r="BL120" s="384">
        <f t="shared" si="67"/>
        <v>0</v>
      </c>
      <c r="BM120" s="384"/>
      <c r="BN120" s="384"/>
      <c r="BO120" s="384"/>
      <c r="BP120" s="384"/>
      <c r="BQ120" s="384">
        <f t="shared" si="98"/>
        <v>0</v>
      </c>
      <c r="BR120" s="384"/>
      <c r="BS120" s="384"/>
      <c r="BT120" s="384"/>
      <c r="BU120" s="386"/>
      <c r="BV120" s="384">
        <f t="shared" si="99"/>
        <v>-1.1641532182693481E-10</v>
      </c>
    </row>
    <row r="121" spans="1:74" ht="39" customHeight="1" x14ac:dyDescent="0.25">
      <c r="A121" s="382" t="s">
        <v>253</v>
      </c>
      <c r="B121" s="383" t="s">
        <v>270</v>
      </c>
      <c r="C121" s="374">
        <v>226</v>
      </c>
      <c r="D121" s="387" t="s">
        <v>562</v>
      </c>
      <c r="E121" s="384">
        <f t="shared" si="102"/>
        <v>60533.83</v>
      </c>
      <c r="F121" s="384"/>
      <c r="G121" s="384"/>
      <c r="H121" s="384"/>
      <c r="I121" s="384">
        <v>60533.83</v>
      </c>
      <c r="J121" s="384">
        <f t="shared" si="92"/>
        <v>0</v>
      </c>
      <c r="K121" s="384"/>
      <c r="L121" s="384"/>
      <c r="M121" s="384"/>
      <c r="N121" s="384"/>
      <c r="O121" s="384">
        <f t="shared" si="78"/>
        <v>0</v>
      </c>
      <c r="P121" s="384"/>
      <c r="Q121" s="384"/>
      <c r="R121" s="384"/>
      <c r="S121" s="384"/>
      <c r="T121" s="384">
        <f t="shared" si="93"/>
        <v>0</v>
      </c>
      <c r="U121" s="384"/>
      <c r="V121" s="384"/>
      <c r="W121" s="384"/>
      <c r="X121" s="384"/>
      <c r="Y121" s="384">
        <f t="shared" si="100"/>
        <v>60533.83</v>
      </c>
      <c r="Z121" s="384"/>
      <c r="AA121" s="384"/>
      <c r="AB121" s="384"/>
      <c r="AC121" s="386">
        <v>60533.83</v>
      </c>
      <c r="AD121" s="384">
        <f t="shared" si="94"/>
        <v>0</v>
      </c>
      <c r="AE121" s="384"/>
      <c r="AF121" s="384"/>
      <c r="AG121" s="384"/>
      <c r="AH121" s="386"/>
      <c r="AI121" s="384">
        <f t="shared" si="95"/>
        <v>0</v>
      </c>
      <c r="AJ121" s="384"/>
      <c r="AK121" s="384"/>
      <c r="AL121" s="384"/>
      <c r="AM121" s="386"/>
      <c r="AN121" s="384">
        <v>0</v>
      </c>
      <c r="AO121" s="384"/>
      <c r="AP121" s="384"/>
      <c r="AQ121" s="384"/>
      <c r="AR121" s="386"/>
      <c r="AS121" s="384">
        <v>0</v>
      </c>
      <c r="AT121" s="384"/>
      <c r="AU121" s="384"/>
      <c r="AV121" s="384"/>
      <c r="AW121" s="386"/>
      <c r="AX121" s="384">
        <f t="shared" si="96"/>
        <v>0</v>
      </c>
      <c r="AY121" s="384"/>
      <c r="AZ121" s="384"/>
      <c r="BA121" s="384"/>
      <c r="BB121" s="386"/>
      <c r="BC121" s="384">
        <f t="shared" si="101"/>
        <v>0</v>
      </c>
      <c r="BD121" s="384"/>
      <c r="BE121" s="384"/>
      <c r="BF121" s="384"/>
      <c r="BG121" s="384">
        <f t="shared" si="97"/>
        <v>0</v>
      </c>
      <c r="BH121" s="384"/>
      <c r="BI121" s="384"/>
      <c r="BJ121" s="384"/>
      <c r="BK121" s="384"/>
      <c r="BL121" s="384">
        <f t="shared" si="67"/>
        <v>0</v>
      </c>
      <c r="BM121" s="384"/>
      <c r="BN121" s="384"/>
      <c r="BO121" s="384"/>
      <c r="BP121" s="384"/>
      <c r="BQ121" s="384">
        <f t="shared" si="98"/>
        <v>0</v>
      </c>
      <c r="BR121" s="384"/>
      <c r="BS121" s="384"/>
      <c r="BT121" s="384"/>
      <c r="BU121" s="386"/>
      <c r="BV121" s="384">
        <f t="shared" si="99"/>
        <v>0</v>
      </c>
    </row>
    <row r="122" spans="1:74" ht="54" customHeight="1" x14ac:dyDescent="0.25">
      <c r="A122" s="382" t="s">
        <v>380</v>
      </c>
      <c r="B122" s="383" t="s">
        <v>208</v>
      </c>
      <c r="C122" s="374">
        <v>226</v>
      </c>
      <c r="D122" s="387" t="s">
        <v>563</v>
      </c>
      <c r="E122" s="384">
        <f t="shared" si="102"/>
        <v>63050.16</v>
      </c>
      <c r="F122" s="384"/>
      <c r="G122" s="384"/>
      <c r="H122" s="384"/>
      <c r="I122" s="384">
        <v>63050.16</v>
      </c>
      <c r="J122" s="384">
        <f t="shared" si="92"/>
        <v>0</v>
      </c>
      <c r="K122" s="384"/>
      <c r="L122" s="384"/>
      <c r="M122" s="384"/>
      <c r="N122" s="384"/>
      <c r="O122" s="384">
        <f t="shared" si="78"/>
        <v>0</v>
      </c>
      <c r="P122" s="384"/>
      <c r="Q122" s="384"/>
      <c r="R122" s="384"/>
      <c r="S122" s="384"/>
      <c r="T122" s="384">
        <f t="shared" si="93"/>
        <v>63050.16</v>
      </c>
      <c r="U122" s="384"/>
      <c r="V122" s="384"/>
      <c r="W122" s="384"/>
      <c r="X122" s="384">
        <v>63050.16</v>
      </c>
      <c r="Y122" s="384">
        <f t="shared" si="100"/>
        <v>0</v>
      </c>
      <c r="Z122" s="384"/>
      <c r="AA122" s="384"/>
      <c r="AB122" s="384"/>
      <c r="AC122" s="386"/>
      <c r="AD122" s="384">
        <f t="shared" si="94"/>
        <v>0</v>
      </c>
      <c r="AE122" s="384"/>
      <c r="AF122" s="384"/>
      <c r="AG122" s="384"/>
      <c r="AH122" s="386"/>
      <c r="AI122" s="384">
        <f t="shared" si="95"/>
        <v>0</v>
      </c>
      <c r="AJ122" s="384"/>
      <c r="AK122" s="384"/>
      <c r="AL122" s="384"/>
      <c r="AM122" s="386"/>
      <c r="AN122" s="384">
        <v>0</v>
      </c>
      <c r="AO122" s="384"/>
      <c r="AP122" s="384"/>
      <c r="AQ122" s="384"/>
      <c r="AR122" s="386"/>
      <c r="AS122" s="384">
        <v>0</v>
      </c>
      <c r="AT122" s="384"/>
      <c r="AU122" s="384"/>
      <c r="AV122" s="384"/>
      <c r="AW122" s="386"/>
      <c r="AX122" s="384">
        <f t="shared" si="96"/>
        <v>0</v>
      </c>
      <c r="AY122" s="384"/>
      <c r="AZ122" s="384"/>
      <c r="BA122" s="384"/>
      <c r="BB122" s="386"/>
      <c r="BC122" s="384">
        <f t="shared" si="101"/>
        <v>0</v>
      </c>
      <c r="BD122" s="384"/>
      <c r="BE122" s="384"/>
      <c r="BF122" s="384"/>
      <c r="BG122" s="384">
        <f t="shared" si="97"/>
        <v>0</v>
      </c>
      <c r="BH122" s="384"/>
      <c r="BI122" s="384"/>
      <c r="BJ122" s="384"/>
      <c r="BK122" s="384"/>
      <c r="BL122" s="384">
        <f t="shared" si="67"/>
        <v>0</v>
      </c>
      <c r="BM122" s="384"/>
      <c r="BN122" s="384"/>
      <c r="BO122" s="384"/>
      <c r="BP122" s="384"/>
      <c r="BQ122" s="384">
        <f t="shared" si="98"/>
        <v>0</v>
      </c>
      <c r="BR122" s="384"/>
      <c r="BS122" s="384"/>
      <c r="BT122" s="384"/>
      <c r="BU122" s="386"/>
      <c r="BV122" s="384">
        <f t="shared" si="99"/>
        <v>0</v>
      </c>
    </row>
    <row r="123" spans="1:74" ht="45.6" customHeight="1" x14ac:dyDescent="0.25">
      <c r="A123" s="382" t="s">
        <v>419</v>
      </c>
      <c r="B123" s="388" t="s">
        <v>248</v>
      </c>
      <c r="C123" s="377">
        <v>226</v>
      </c>
      <c r="D123" s="390" t="s">
        <v>564</v>
      </c>
      <c r="E123" s="384">
        <f t="shared" si="102"/>
        <v>1239</v>
      </c>
      <c r="F123" s="384"/>
      <c r="G123" s="384"/>
      <c r="H123" s="384"/>
      <c r="I123" s="384">
        <v>1239</v>
      </c>
      <c r="J123" s="384">
        <f>K123+L123+M123+N123</f>
        <v>0</v>
      </c>
      <c r="K123" s="384"/>
      <c r="L123" s="384"/>
      <c r="M123" s="384"/>
      <c r="N123" s="384"/>
      <c r="O123" s="384">
        <f>P123+Q123+R123+S123</f>
        <v>0</v>
      </c>
      <c r="P123" s="384"/>
      <c r="Q123" s="384"/>
      <c r="R123" s="384"/>
      <c r="S123" s="384"/>
      <c r="T123" s="384">
        <f>U123+V123+W123+X123</f>
        <v>1239</v>
      </c>
      <c r="U123" s="384"/>
      <c r="V123" s="384"/>
      <c r="W123" s="384"/>
      <c r="X123" s="384">
        <v>1239</v>
      </c>
      <c r="Y123" s="384">
        <f>Z123+AA123+AB123+AC123</f>
        <v>0</v>
      </c>
      <c r="Z123" s="384"/>
      <c r="AA123" s="384"/>
      <c r="AB123" s="384"/>
      <c r="AC123" s="386"/>
      <c r="AD123" s="384">
        <f>SUM(AE123:AH123)</f>
        <v>0</v>
      </c>
      <c r="AE123" s="384"/>
      <c r="AF123" s="384"/>
      <c r="AG123" s="384"/>
      <c r="AH123" s="386"/>
      <c r="AI123" s="384">
        <f>SUM(AJ123:AM123)</f>
        <v>0</v>
      </c>
      <c r="AJ123" s="384"/>
      <c r="AK123" s="384"/>
      <c r="AL123" s="384"/>
      <c r="AM123" s="386"/>
      <c r="AN123" s="384">
        <v>0</v>
      </c>
      <c r="AO123" s="384"/>
      <c r="AP123" s="384"/>
      <c r="AQ123" s="384"/>
      <c r="AR123" s="386"/>
      <c r="AS123" s="384">
        <v>0</v>
      </c>
      <c r="AT123" s="384"/>
      <c r="AU123" s="384"/>
      <c r="AV123" s="384"/>
      <c r="AW123" s="386"/>
      <c r="AX123" s="384">
        <f>SUM(AY123:BB123)</f>
        <v>0</v>
      </c>
      <c r="AY123" s="384"/>
      <c r="AZ123" s="384"/>
      <c r="BA123" s="384"/>
      <c r="BB123" s="386"/>
      <c r="BC123" s="384">
        <f t="shared" si="101"/>
        <v>0</v>
      </c>
      <c r="BD123" s="384"/>
      <c r="BE123" s="384"/>
      <c r="BF123" s="384"/>
      <c r="BG123" s="384">
        <f>SUM(BH123:BK123)</f>
        <v>0</v>
      </c>
      <c r="BH123" s="384"/>
      <c r="BI123" s="384"/>
      <c r="BJ123" s="384"/>
      <c r="BK123" s="384"/>
      <c r="BL123" s="384">
        <f>BM123+BN123+BO123+BP123</f>
        <v>0</v>
      </c>
      <c r="BM123" s="384"/>
      <c r="BN123" s="384"/>
      <c r="BO123" s="384"/>
      <c r="BP123" s="384"/>
      <c r="BQ123" s="384">
        <f>SUM(BR123:BU123)</f>
        <v>0</v>
      </c>
      <c r="BR123" s="384"/>
      <c r="BS123" s="384"/>
      <c r="BT123" s="384"/>
      <c r="BU123" s="386"/>
      <c r="BV123" s="384">
        <f t="shared" si="99"/>
        <v>0</v>
      </c>
    </row>
    <row r="124" spans="1:74" ht="206.45" customHeight="1" x14ac:dyDescent="0.25">
      <c r="A124" s="382" t="s">
        <v>448</v>
      </c>
      <c r="B124" s="388" t="s">
        <v>449</v>
      </c>
      <c r="C124" s="377">
        <v>226</v>
      </c>
      <c r="D124" s="387" t="s">
        <v>692</v>
      </c>
      <c r="E124" s="384">
        <f t="shared" si="102"/>
        <v>1747.14</v>
      </c>
      <c r="F124" s="384"/>
      <c r="G124" s="384"/>
      <c r="H124" s="384"/>
      <c r="I124" s="384">
        <v>1747.14</v>
      </c>
      <c r="J124" s="384">
        <f t="shared" si="92"/>
        <v>0</v>
      </c>
      <c r="K124" s="384"/>
      <c r="L124" s="384"/>
      <c r="M124" s="384"/>
      <c r="N124" s="384"/>
      <c r="O124" s="384">
        <f t="shared" si="78"/>
        <v>0</v>
      </c>
      <c r="P124" s="384"/>
      <c r="Q124" s="384"/>
      <c r="R124" s="384"/>
      <c r="S124" s="384"/>
      <c r="T124" s="384">
        <f t="shared" si="93"/>
        <v>0</v>
      </c>
      <c r="U124" s="384"/>
      <c r="V124" s="384"/>
      <c r="W124" s="384"/>
      <c r="X124" s="384"/>
      <c r="Y124" s="384">
        <f t="shared" si="100"/>
        <v>0</v>
      </c>
      <c r="Z124" s="384"/>
      <c r="AA124" s="384"/>
      <c r="AB124" s="384"/>
      <c r="AC124" s="386"/>
      <c r="AD124" s="384">
        <f t="shared" ref="AD124:AD125" si="103">SUM(AE124:AH124)</f>
        <v>1747.14</v>
      </c>
      <c r="AE124" s="384"/>
      <c r="AF124" s="384"/>
      <c r="AG124" s="384"/>
      <c r="AH124" s="386">
        <v>1747.14</v>
      </c>
      <c r="AI124" s="384">
        <f t="shared" ref="AI124:AI125" si="104">SUM(AJ124:AM124)</f>
        <v>0</v>
      </c>
      <c r="AJ124" s="384"/>
      <c r="AK124" s="384"/>
      <c r="AL124" s="384"/>
      <c r="AM124" s="386"/>
      <c r="AN124" s="384">
        <v>0</v>
      </c>
      <c r="AO124" s="384"/>
      <c r="AP124" s="384"/>
      <c r="AQ124" s="384"/>
      <c r="AR124" s="386"/>
      <c r="AS124" s="384">
        <v>0</v>
      </c>
      <c r="AT124" s="384"/>
      <c r="AU124" s="384"/>
      <c r="AV124" s="384"/>
      <c r="AW124" s="386"/>
      <c r="AX124" s="384">
        <f t="shared" ref="AX124:AX125" si="105">SUM(AY124:BB124)</f>
        <v>0</v>
      </c>
      <c r="AY124" s="384"/>
      <c r="AZ124" s="384"/>
      <c r="BA124" s="384"/>
      <c r="BB124" s="386"/>
      <c r="BC124" s="384">
        <f t="shared" si="101"/>
        <v>0</v>
      </c>
      <c r="BD124" s="384"/>
      <c r="BE124" s="384"/>
      <c r="BF124" s="384"/>
      <c r="BG124" s="384">
        <f t="shared" si="97"/>
        <v>0</v>
      </c>
      <c r="BH124" s="384"/>
      <c r="BI124" s="384"/>
      <c r="BJ124" s="384"/>
      <c r="BK124" s="384"/>
      <c r="BL124" s="384">
        <f t="shared" si="67"/>
        <v>0</v>
      </c>
      <c r="BM124" s="384"/>
      <c r="BN124" s="384"/>
      <c r="BO124" s="384"/>
      <c r="BP124" s="384"/>
      <c r="BQ124" s="384">
        <f t="shared" si="98"/>
        <v>0</v>
      </c>
      <c r="BR124" s="384"/>
      <c r="BS124" s="384"/>
      <c r="BT124" s="384"/>
      <c r="BU124" s="386"/>
      <c r="BV124" s="384">
        <f t="shared" si="99"/>
        <v>0</v>
      </c>
    </row>
    <row r="125" spans="1:74" ht="81.599999999999994" customHeight="1" x14ac:dyDescent="0.25">
      <c r="A125" s="382" t="s">
        <v>452</v>
      </c>
      <c r="B125" s="388" t="s">
        <v>470</v>
      </c>
      <c r="C125" s="377">
        <v>226</v>
      </c>
      <c r="D125" s="390" t="s">
        <v>686</v>
      </c>
      <c r="E125" s="384">
        <f t="shared" si="102"/>
        <v>45333</v>
      </c>
      <c r="F125" s="384"/>
      <c r="G125" s="384"/>
      <c r="H125" s="384"/>
      <c r="I125" s="384">
        <v>45333</v>
      </c>
      <c r="J125" s="384">
        <f t="shared" si="92"/>
        <v>0</v>
      </c>
      <c r="K125" s="384"/>
      <c r="L125" s="384"/>
      <c r="M125" s="384"/>
      <c r="N125" s="384"/>
      <c r="O125" s="384">
        <f t="shared" si="78"/>
        <v>0</v>
      </c>
      <c r="P125" s="384"/>
      <c r="Q125" s="384"/>
      <c r="R125" s="384"/>
      <c r="S125" s="384"/>
      <c r="T125" s="384">
        <f t="shared" si="93"/>
        <v>0</v>
      </c>
      <c r="U125" s="384"/>
      <c r="V125" s="384"/>
      <c r="W125" s="384"/>
      <c r="X125" s="384"/>
      <c r="Y125" s="384">
        <f t="shared" si="100"/>
        <v>0</v>
      </c>
      <c r="Z125" s="384"/>
      <c r="AA125" s="384"/>
      <c r="AB125" s="384"/>
      <c r="AC125" s="386"/>
      <c r="AD125" s="384">
        <f t="shared" si="103"/>
        <v>0</v>
      </c>
      <c r="AE125" s="384"/>
      <c r="AF125" s="384"/>
      <c r="AG125" s="384"/>
      <c r="AH125" s="386"/>
      <c r="AI125" s="384">
        <f t="shared" si="104"/>
        <v>45333</v>
      </c>
      <c r="AJ125" s="384"/>
      <c r="AK125" s="384"/>
      <c r="AL125" s="384"/>
      <c r="AM125" s="386">
        <v>45333</v>
      </c>
      <c r="AN125" s="384">
        <v>0</v>
      </c>
      <c r="AO125" s="384"/>
      <c r="AP125" s="384"/>
      <c r="AQ125" s="384"/>
      <c r="AR125" s="386"/>
      <c r="AS125" s="384">
        <v>0</v>
      </c>
      <c r="AT125" s="384"/>
      <c r="AU125" s="384"/>
      <c r="AV125" s="384"/>
      <c r="AW125" s="386"/>
      <c r="AX125" s="384">
        <f t="shared" si="105"/>
        <v>0</v>
      </c>
      <c r="AY125" s="384"/>
      <c r="AZ125" s="384"/>
      <c r="BA125" s="384"/>
      <c r="BB125" s="386"/>
      <c r="BC125" s="384">
        <f t="shared" si="101"/>
        <v>0</v>
      </c>
      <c r="BD125" s="384"/>
      <c r="BE125" s="384"/>
      <c r="BF125" s="384"/>
      <c r="BG125" s="384">
        <f t="shared" si="97"/>
        <v>0</v>
      </c>
      <c r="BH125" s="384"/>
      <c r="BI125" s="384"/>
      <c r="BJ125" s="384"/>
      <c r="BK125" s="384"/>
      <c r="BL125" s="384">
        <f t="shared" si="67"/>
        <v>0</v>
      </c>
      <c r="BM125" s="384"/>
      <c r="BN125" s="384"/>
      <c r="BO125" s="384"/>
      <c r="BP125" s="384"/>
      <c r="BQ125" s="384">
        <f t="shared" si="98"/>
        <v>0</v>
      </c>
      <c r="BR125" s="384"/>
      <c r="BS125" s="384"/>
      <c r="BT125" s="384"/>
      <c r="BU125" s="386"/>
      <c r="BV125" s="384">
        <f t="shared" si="99"/>
        <v>0</v>
      </c>
    </row>
    <row r="126" spans="1:74" ht="45.6" customHeight="1" x14ac:dyDescent="0.25">
      <c r="A126" s="382" t="s">
        <v>474</v>
      </c>
      <c r="B126" s="388" t="s">
        <v>479</v>
      </c>
      <c r="C126" s="377">
        <v>226</v>
      </c>
      <c r="D126" s="390" t="s">
        <v>565</v>
      </c>
      <c r="E126" s="384">
        <v>86000</v>
      </c>
      <c r="F126" s="384"/>
      <c r="G126" s="384"/>
      <c r="H126" s="384"/>
      <c r="I126" s="384">
        <v>86000</v>
      </c>
      <c r="J126" s="384">
        <f>K126+L126+M126+N126</f>
        <v>0</v>
      </c>
      <c r="K126" s="384"/>
      <c r="L126" s="384"/>
      <c r="M126" s="384"/>
      <c r="N126" s="384"/>
      <c r="O126" s="384">
        <f>P126+Q126+R126+S126</f>
        <v>0</v>
      </c>
      <c r="P126" s="384"/>
      <c r="Q126" s="384"/>
      <c r="R126" s="384"/>
      <c r="S126" s="384"/>
      <c r="T126" s="384">
        <f>U126+V126+W126+X126</f>
        <v>0</v>
      </c>
      <c r="U126" s="384"/>
      <c r="V126" s="384"/>
      <c r="W126" s="384"/>
      <c r="X126" s="384"/>
      <c r="Y126" s="384">
        <f>Z126+AA126+AB126+AC126</f>
        <v>0</v>
      </c>
      <c r="Z126" s="384"/>
      <c r="AA126" s="384"/>
      <c r="AB126" s="384"/>
      <c r="AC126" s="386"/>
      <c r="AD126" s="384">
        <f t="shared" ref="AD126" si="106">SUM(AE126:AH126)</f>
        <v>0</v>
      </c>
      <c r="AE126" s="384"/>
      <c r="AF126" s="384"/>
      <c r="AG126" s="384"/>
      <c r="AH126" s="386">
        <v>0</v>
      </c>
      <c r="AI126" s="384">
        <f>SUM(AJ126:AM126)</f>
        <v>86000</v>
      </c>
      <c r="AJ126" s="384"/>
      <c r="AK126" s="384"/>
      <c r="AL126" s="384"/>
      <c r="AM126" s="386">
        <v>86000</v>
      </c>
      <c r="AN126" s="384">
        <v>0</v>
      </c>
      <c r="AO126" s="384"/>
      <c r="AP126" s="384"/>
      <c r="AQ126" s="384"/>
      <c r="AR126" s="386"/>
      <c r="AS126" s="384">
        <v>0</v>
      </c>
      <c r="AT126" s="384"/>
      <c r="AU126" s="384"/>
      <c r="AV126" s="384"/>
      <c r="AW126" s="386"/>
      <c r="AX126" s="384">
        <f>SUM(AY126:BB126)</f>
        <v>0</v>
      </c>
      <c r="AY126" s="384"/>
      <c r="AZ126" s="384"/>
      <c r="BA126" s="384"/>
      <c r="BB126" s="386"/>
      <c r="BC126" s="384">
        <f t="shared" si="101"/>
        <v>0</v>
      </c>
      <c r="BD126" s="384"/>
      <c r="BE126" s="384"/>
      <c r="BF126" s="384"/>
      <c r="BG126" s="384">
        <f t="shared" ref="BG126" si="107">SUM(BH126:BK126)</f>
        <v>0</v>
      </c>
      <c r="BH126" s="384"/>
      <c r="BI126" s="384"/>
      <c r="BJ126" s="384"/>
      <c r="BK126" s="384"/>
      <c r="BL126" s="384">
        <f>BM126+BN126+BO126+BP126</f>
        <v>0</v>
      </c>
      <c r="BM126" s="384"/>
      <c r="BN126" s="384"/>
      <c r="BO126" s="384"/>
      <c r="BP126" s="384"/>
      <c r="BQ126" s="384">
        <f>SUM(BR126:BU126)</f>
        <v>0</v>
      </c>
      <c r="BR126" s="384"/>
      <c r="BS126" s="384"/>
      <c r="BT126" s="384"/>
      <c r="BU126" s="386"/>
      <c r="BV126" s="384">
        <f t="shared" si="99"/>
        <v>0</v>
      </c>
    </row>
    <row r="127" spans="1:74" ht="43.15" customHeight="1" x14ac:dyDescent="0.25">
      <c r="A127" s="382" t="s">
        <v>482</v>
      </c>
      <c r="B127" s="388" t="s">
        <v>451</v>
      </c>
      <c r="C127" s="377">
        <v>290</v>
      </c>
      <c r="D127" s="390"/>
      <c r="E127" s="384">
        <f t="shared" si="102"/>
        <v>70000</v>
      </c>
      <c r="F127" s="384"/>
      <c r="G127" s="384"/>
      <c r="H127" s="384"/>
      <c r="I127" s="384">
        <v>70000</v>
      </c>
      <c r="J127" s="384">
        <f>K127+L127+M127+N127</f>
        <v>0</v>
      </c>
      <c r="K127" s="384"/>
      <c r="L127" s="384"/>
      <c r="M127" s="384"/>
      <c r="N127" s="384"/>
      <c r="O127" s="384">
        <f>P127+Q127+R127+S127</f>
        <v>0</v>
      </c>
      <c r="P127" s="384"/>
      <c r="Q127" s="384"/>
      <c r="R127" s="384"/>
      <c r="S127" s="384"/>
      <c r="T127" s="384">
        <f>U127+V127+W127+X127</f>
        <v>0</v>
      </c>
      <c r="U127" s="384"/>
      <c r="V127" s="384"/>
      <c r="W127" s="384"/>
      <c r="X127" s="384"/>
      <c r="Y127" s="384">
        <f>Z127+AA127+AB127+AC127</f>
        <v>0</v>
      </c>
      <c r="Z127" s="384"/>
      <c r="AA127" s="384"/>
      <c r="AB127" s="384"/>
      <c r="AC127" s="386"/>
      <c r="AD127" s="384">
        <f>SUM(AE127:AH127)</f>
        <v>70000</v>
      </c>
      <c r="AE127" s="384"/>
      <c r="AF127" s="384"/>
      <c r="AG127" s="384"/>
      <c r="AH127" s="386">
        <v>70000</v>
      </c>
      <c r="AI127" s="384">
        <f>SUM(AJ127:AM127)</f>
        <v>0</v>
      </c>
      <c r="AJ127" s="384"/>
      <c r="AK127" s="384"/>
      <c r="AL127" s="384"/>
      <c r="AM127" s="386"/>
      <c r="AN127" s="384">
        <v>0</v>
      </c>
      <c r="AO127" s="384"/>
      <c r="AP127" s="384"/>
      <c r="AQ127" s="384"/>
      <c r="AR127" s="386"/>
      <c r="AS127" s="384">
        <v>0</v>
      </c>
      <c r="AT127" s="384"/>
      <c r="AU127" s="384"/>
      <c r="AV127" s="384"/>
      <c r="AW127" s="386"/>
      <c r="AX127" s="384">
        <f>SUM(AY127:BB127)</f>
        <v>0</v>
      </c>
      <c r="AY127" s="384"/>
      <c r="AZ127" s="384"/>
      <c r="BA127" s="384"/>
      <c r="BB127" s="386"/>
      <c r="BC127" s="384">
        <f t="shared" si="101"/>
        <v>0</v>
      </c>
      <c r="BD127" s="384"/>
      <c r="BE127" s="384"/>
      <c r="BF127" s="384"/>
      <c r="BG127" s="384">
        <f>SUM(BH127:BK127)</f>
        <v>0</v>
      </c>
      <c r="BH127" s="384"/>
      <c r="BI127" s="384"/>
      <c r="BJ127" s="384"/>
      <c r="BK127" s="384"/>
      <c r="BL127" s="384">
        <f>BM127+BN127+BO127+BP127</f>
        <v>0</v>
      </c>
      <c r="BM127" s="384"/>
      <c r="BN127" s="384"/>
      <c r="BO127" s="384"/>
      <c r="BP127" s="384"/>
      <c r="BQ127" s="384">
        <f>SUM(BR127:BU127)</f>
        <v>0</v>
      </c>
      <c r="BR127" s="384"/>
      <c r="BS127" s="384"/>
      <c r="BT127" s="384"/>
      <c r="BU127" s="386"/>
      <c r="BV127" s="384">
        <f t="shared" si="99"/>
        <v>0</v>
      </c>
    </row>
    <row r="128" spans="1:74" ht="86.45" customHeight="1" x14ac:dyDescent="0.25">
      <c r="A128" s="382" t="s">
        <v>483</v>
      </c>
      <c r="B128" s="388" t="s">
        <v>464</v>
      </c>
      <c r="C128" s="377">
        <v>223</v>
      </c>
      <c r="D128" s="390" t="s">
        <v>566</v>
      </c>
      <c r="E128" s="384">
        <f t="shared" si="102"/>
        <v>93621.73</v>
      </c>
      <c r="F128" s="384"/>
      <c r="G128" s="384"/>
      <c r="H128" s="384"/>
      <c r="I128" s="384">
        <v>93621.73</v>
      </c>
      <c r="J128" s="384">
        <f t="shared" si="92"/>
        <v>0</v>
      </c>
      <c r="K128" s="384"/>
      <c r="L128" s="384"/>
      <c r="M128" s="384"/>
      <c r="N128" s="384"/>
      <c r="O128" s="384">
        <f t="shared" si="78"/>
        <v>0</v>
      </c>
      <c r="P128" s="384"/>
      <c r="Q128" s="384"/>
      <c r="R128" s="384"/>
      <c r="S128" s="384"/>
      <c r="T128" s="384">
        <f t="shared" si="93"/>
        <v>0</v>
      </c>
      <c r="U128" s="384"/>
      <c r="V128" s="384"/>
      <c r="W128" s="384"/>
      <c r="X128" s="384"/>
      <c r="Y128" s="384">
        <f t="shared" si="100"/>
        <v>0</v>
      </c>
      <c r="Z128" s="384"/>
      <c r="AA128" s="384"/>
      <c r="AB128" s="384"/>
      <c r="AC128" s="386"/>
      <c r="AD128" s="384">
        <f t="shared" ref="AD128:AD130" si="108">SUM(AE128:AH128)</f>
        <v>0</v>
      </c>
      <c r="AE128" s="384"/>
      <c r="AF128" s="384"/>
      <c r="AG128" s="384"/>
      <c r="AH128" s="386">
        <v>0</v>
      </c>
      <c r="AI128" s="384">
        <f t="shared" ref="AI128:AI130" si="109">SUM(AJ128:AM128)</f>
        <v>93621.73</v>
      </c>
      <c r="AJ128" s="384"/>
      <c r="AK128" s="384"/>
      <c r="AL128" s="384"/>
      <c r="AM128" s="386">
        <v>93621.73</v>
      </c>
      <c r="AN128" s="384">
        <v>0</v>
      </c>
      <c r="AO128" s="384"/>
      <c r="AP128" s="384"/>
      <c r="AQ128" s="384"/>
      <c r="AR128" s="386"/>
      <c r="AS128" s="384">
        <v>0</v>
      </c>
      <c r="AT128" s="384"/>
      <c r="AU128" s="384"/>
      <c r="AV128" s="384"/>
      <c r="AW128" s="386"/>
      <c r="AX128" s="384">
        <f t="shared" ref="AX128:AX131" si="110">SUM(AY128:BB128)</f>
        <v>0</v>
      </c>
      <c r="AY128" s="384"/>
      <c r="AZ128" s="384"/>
      <c r="BA128" s="384"/>
      <c r="BB128" s="386"/>
      <c r="BC128" s="384">
        <f t="shared" si="101"/>
        <v>0</v>
      </c>
      <c r="BD128" s="384"/>
      <c r="BE128" s="384"/>
      <c r="BF128" s="384"/>
      <c r="BG128" s="384">
        <f>SUM(BH128:BK128)</f>
        <v>0</v>
      </c>
      <c r="BH128" s="384"/>
      <c r="BI128" s="384"/>
      <c r="BJ128" s="384"/>
      <c r="BK128" s="384"/>
      <c r="BL128" s="384">
        <f t="shared" si="67"/>
        <v>0</v>
      </c>
      <c r="BM128" s="384"/>
      <c r="BN128" s="384"/>
      <c r="BO128" s="384"/>
      <c r="BP128" s="384"/>
      <c r="BQ128" s="384">
        <f t="shared" ref="BQ128:BQ131" si="111">SUM(BR128:BU128)</f>
        <v>0</v>
      </c>
      <c r="BR128" s="384"/>
      <c r="BS128" s="384"/>
      <c r="BT128" s="384"/>
      <c r="BU128" s="386"/>
      <c r="BV128" s="384">
        <f t="shared" si="99"/>
        <v>0</v>
      </c>
    </row>
    <row r="129" spans="1:74" ht="334.5" customHeight="1" x14ac:dyDescent="0.25">
      <c r="A129" s="382" t="s">
        <v>672</v>
      </c>
      <c r="B129" s="388" t="s">
        <v>488</v>
      </c>
      <c r="C129" s="377">
        <v>226</v>
      </c>
      <c r="D129" s="390" t="s">
        <v>726</v>
      </c>
      <c r="E129" s="384">
        <f t="shared" si="102"/>
        <v>1137318.1399999999</v>
      </c>
      <c r="F129" s="384"/>
      <c r="G129" s="384"/>
      <c r="H129" s="384"/>
      <c r="I129" s="384">
        <v>1137318.1399999999</v>
      </c>
      <c r="J129" s="384">
        <f t="shared" si="92"/>
        <v>0</v>
      </c>
      <c r="K129" s="384"/>
      <c r="L129" s="384"/>
      <c r="M129" s="384"/>
      <c r="N129" s="384"/>
      <c r="O129" s="384">
        <f t="shared" si="78"/>
        <v>0</v>
      </c>
      <c r="P129" s="384"/>
      <c r="Q129" s="384"/>
      <c r="R129" s="384"/>
      <c r="S129" s="384"/>
      <c r="T129" s="384">
        <f t="shared" si="93"/>
        <v>0</v>
      </c>
      <c r="U129" s="384"/>
      <c r="V129" s="384"/>
      <c r="W129" s="384"/>
      <c r="X129" s="384"/>
      <c r="Y129" s="384">
        <f t="shared" si="100"/>
        <v>0</v>
      </c>
      <c r="Z129" s="384"/>
      <c r="AA129" s="384"/>
      <c r="AB129" s="384"/>
      <c r="AC129" s="386"/>
      <c r="AD129" s="384">
        <f t="shared" si="108"/>
        <v>0</v>
      </c>
      <c r="AE129" s="384"/>
      <c r="AF129" s="384"/>
      <c r="AG129" s="384"/>
      <c r="AH129" s="386"/>
      <c r="AI129" s="384">
        <f t="shared" si="109"/>
        <v>0</v>
      </c>
      <c r="AJ129" s="384"/>
      <c r="AK129" s="384"/>
      <c r="AL129" s="384"/>
      <c r="AM129" s="386"/>
      <c r="AN129" s="384">
        <v>0</v>
      </c>
      <c r="AO129" s="384"/>
      <c r="AP129" s="384"/>
      <c r="AQ129" s="384"/>
      <c r="AR129" s="386"/>
      <c r="AS129" s="384">
        <v>1137318.1400000001</v>
      </c>
      <c r="AT129" s="384"/>
      <c r="AU129" s="384"/>
      <c r="AV129" s="384"/>
      <c r="AW129" s="386">
        <v>1137318.1400000001</v>
      </c>
      <c r="AX129" s="384">
        <f t="shared" si="110"/>
        <v>0</v>
      </c>
      <c r="AY129" s="384"/>
      <c r="AZ129" s="384"/>
      <c r="BA129" s="384"/>
      <c r="BB129" s="386"/>
      <c r="BC129" s="384">
        <f t="shared" si="101"/>
        <v>-2.3283064365386963E-10</v>
      </c>
      <c r="BD129" s="384"/>
      <c r="BE129" s="384"/>
      <c r="BF129" s="384"/>
      <c r="BG129" s="384">
        <f t="shared" ref="BG129:BG131" si="112">SUM(BH129:BK129)</f>
        <v>0</v>
      </c>
      <c r="BH129" s="384"/>
      <c r="BI129" s="384"/>
      <c r="BJ129" s="384"/>
      <c r="BK129" s="384"/>
      <c r="BL129" s="384">
        <f t="shared" si="67"/>
        <v>0</v>
      </c>
      <c r="BM129" s="384"/>
      <c r="BN129" s="384"/>
      <c r="BO129" s="384"/>
      <c r="BP129" s="384"/>
      <c r="BQ129" s="384">
        <f t="shared" si="111"/>
        <v>0</v>
      </c>
      <c r="BR129" s="384"/>
      <c r="BS129" s="384"/>
      <c r="BT129" s="384"/>
      <c r="BU129" s="386"/>
      <c r="BV129" s="384">
        <f t="shared" si="99"/>
        <v>-2.3283064365386963E-10</v>
      </c>
    </row>
    <row r="130" spans="1:74" ht="87.6" customHeight="1" x14ac:dyDescent="0.25">
      <c r="A130" s="382" t="s">
        <v>672</v>
      </c>
      <c r="B130" s="388" t="s">
        <v>698</v>
      </c>
      <c r="C130" s="377">
        <v>226</v>
      </c>
      <c r="D130" s="387" t="s">
        <v>703</v>
      </c>
      <c r="E130" s="384">
        <f t="shared" si="102"/>
        <v>1830.99</v>
      </c>
      <c r="F130" s="384"/>
      <c r="G130" s="384"/>
      <c r="H130" s="384"/>
      <c r="I130" s="384">
        <v>1830.99</v>
      </c>
      <c r="J130" s="384">
        <f t="shared" si="92"/>
        <v>0</v>
      </c>
      <c r="K130" s="384"/>
      <c r="L130" s="384"/>
      <c r="M130" s="384"/>
      <c r="N130" s="384"/>
      <c r="O130" s="384">
        <f t="shared" si="78"/>
        <v>0</v>
      </c>
      <c r="P130" s="384"/>
      <c r="Q130" s="384"/>
      <c r="R130" s="384"/>
      <c r="S130" s="384"/>
      <c r="T130" s="384">
        <f t="shared" si="93"/>
        <v>0</v>
      </c>
      <c r="U130" s="384"/>
      <c r="V130" s="384"/>
      <c r="W130" s="384"/>
      <c r="X130" s="384"/>
      <c r="Y130" s="384">
        <f t="shared" si="100"/>
        <v>0</v>
      </c>
      <c r="Z130" s="384"/>
      <c r="AA130" s="384"/>
      <c r="AB130" s="384"/>
      <c r="AC130" s="386"/>
      <c r="AD130" s="384">
        <f t="shared" si="108"/>
        <v>0</v>
      </c>
      <c r="AE130" s="384"/>
      <c r="AF130" s="384"/>
      <c r="AG130" s="384"/>
      <c r="AH130" s="386"/>
      <c r="AI130" s="384">
        <f t="shared" si="109"/>
        <v>0</v>
      </c>
      <c r="AJ130" s="384"/>
      <c r="AK130" s="384"/>
      <c r="AL130" s="384"/>
      <c r="AM130" s="386"/>
      <c r="AN130" s="384">
        <v>1830.99</v>
      </c>
      <c r="AO130" s="384"/>
      <c r="AP130" s="384"/>
      <c r="AQ130" s="384"/>
      <c r="AR130" s="386">
        <v>1830.99</v>
      </c>
      <c r="AS130" s="384">
        <v>0</v>
      </c>
      <c r="AT130" s="384"/>
      <c r="AU130" s="384"/>
      <c r="AV130" s="384"/>
      <c r="AW130" s="386"/>
      <c r="AX130" s="384">
        <f t="shared" si="110"/>
        <v>0</v>
      </c>
      <c r="AY130" s="384"/>
      <c r="AZ130" s="384"/>
      <c r="BA130" s="384"/>
      <c r="BB130" s="386"/>
      <c r="BC130" s="384">
        <f t="shared" si="101"/>
        <v>0</v>
      </c>
      <c r="BD130" s="384"/>
      <c r="BE130" s="384"/>
      <c r="BF130" s="384"/>
      <c r="BG130" s="384">
        <f t="shared" si="112"/>
        <v>0</v>
      </c>
      <c r="BH130" s="384"/>
      <c r="BI130" s="384"/>
      <c r="BJ130" s="384"/>
      <c r="BK130" s="384"/>
      <c r="BL130" s="384">
        <f t="shared" si="67"/>
        <v>0</v>
      </c>
      <c r="BM130" s="384"/>
      <c r="BN130" s="384"/>
      <c r="BO130" s="384"/>
      <c r="BP130" s="384"/>
      <c r="BQ130" s="384">
        <f t="shared" si="111"/>
        <v>0</v>
      </c>
      <c r="BR130" s="384"/>
      <c r="BS130" s="384"/>
      <c r="BT130" s="384"/>
      <c r="BU130" s="386"/>
      <c r="BV130" s="384">
        <f t="shared" si="99"/>
        <v>0</v>
      </c>
    </row>
    <row r="131" spans="1:74" ht="87.6" customHeight="1" x14ac:dyDescent="0.25">
      <c r="A131" s="382" t="s">
        <v>709</v>
      </c>
      <c r="B131" s="383" t="s">
        <v>708</v>
      </c>
      <c r="C131" s="374">
        <v>226</v>
      </c>
      <c r="D131" s="387" t="s">
        <v>727</v>
      </c>
      <c r="E131" s="384">
        <f t="shared" si="102"/>
        <v>2274.64</v>
      </c>
      <c r="F131" s="384"/>
      <c r="G131" s="384"/>
      <c r="H131" s="384"/>
      <c r="I131" s="384">
        <v>2274.64</v>
      </c>
      <c r="J131" s="384">
        <v>0</v>
      </c>
      <c r="K131" s="384"/>
      <c r="L131" s="384"/>
      <c r="M131" s="384"/>
      <c r="N131" s="384"/>
      <c r="O131" s="384">
        <v>0</v>
      </c>
      <c r="P131" s="384"/>
      <c r="Q131" s="384"/>
      <c r="R131" s="384"/>
      <c r="S131" s="384"/>
      <c r="T131" s="384">
        <v>0</v>
      </c>
      <c r="U131" s="384"/>
      <c r="V131" s="384"/>
      <c r="W131" s="384"/>
      <c r="X131" s="384"/>
      <c r="Y131" s="384">
        <v>0</v>
      </c>
      <c r="Z131" s="384"/>
      <c r="AA131" s="384"/>
      <c r="AB131" s="384"/>
      <c r="AC131" s="386"/>
      <c r="AD131" s="384">
        <v>0</v>
      </c>
      <c r="AE131" s="384"/>
      <c r="AF131" s="384"/>
      <c r="AG131" s="384"/>
      <c r="AH131" s="386"/>
      <c r="AI131" s="384">
        <v>0</v>
      </c>
      <c r="AJ131" s="384"/>
      <c r="AK131" s="384"/>
      <c r="AL131" s="384"/>
      <c r="AM131" s="386"/>
      <c r="AN131" s="384">
        <v>0</v>
      </c>
      <c r="AO131" s="384"/>
      <c r="AP131" s="384"/>
      <c r="AQ131" s="384"/>
      <c r="AR131" s="386"/>
      <c r="AS131" s="384">
        <v>2274.64</v>
      </c>
      <c r="AT131" s="384"/>
      <c r="AU131" s="384"/>
      <c r="AV131" s="384"/>
      <c r="AW131" s="386">
        <v>2274.64</v>
      </c>
      <c r="AX131" s="384">
        <f t="shared" si="110"/>
        <v>0</v>
      </c>
      <c r="AY131" s="384"/>
      <c r="AZ131" s="384"/>
      <c r="BA131" s="384"/>
      <c r="BB131" s="386"/>
      <c r="BC131" s="384">
        <f t="shared" si="101"/>
        <v>0</v>
      </c>
      <c r="BD131" s="384"/>
      <c r="BE131" s="384"/>
      <c r="BF131" s="384"/>
      <c r="BG131" s="384">
        <f t="shared" si="112"/>
        <v>0</v>
      </c>
      <c r="BH131" s="384"/>
      <c r="BI131" s="384"/>
      <c r="BJ131" s="384"/>
      <c r="BK131" s="384"/>
      <c r="BL131" s="384">
        <f t="shared" si="67"/>
        <v>0</v>
      </c>
      <c r="BM131" s="384"/>
      <c r="BN131" s="384"/>
      <c r="BO131" s="384"/>
      <c r="BP131" s="384"/>
      <c r="BQ131" s="384">
        <f t="shared" si="111"/>
        <v>0</v>
      </c>
      <c r="BR131" s="384"/>
      <c r="BS131" s="384"/>
      <c r="BT131" s="384"/>
      <c r="BU131" s="386"/>
      <c r="BV131" s="384">
        <f t="shared" si="99"/>
        <v>0</v>
      </c>
    </row>
    <row r="132" spans="1:74" ht="31.15" customHeight="1" x14ac:dyDescent="0.25">
      <c r="A132" s="382" t="s">
        <v>38</v>
      </c>
      <c r="B132" s="383" t="s">
        <v>757</v>
      </c>
      <c r="C132" s="374"/>
      <c r="D132" s="383"/>
      <c r="E132" s="384">
        <f>SUM(E133:E156)</f>
        <v>85005412.170000002</v>
      </c>
      <c r="F132" s="384">
        <f t="shared" ref="F132:BC132" si="113">SUM(F133:F156)</f>
        <v>13016908.49</v>
      </c>
      <c r="G132" s="384">
        <f t="shared" si="113"/>
        <v>31468509.370000001</v>
      </c>
      <c r="H132" s="384">
        <f t="shared" si="113"/>
        <v>3774662.15</v>
      </c>
      <c r="I132" s="384">
        <f t="shared" si="113"/>
        <v>36745332.159999996</v>
      </c>
      <c r="J132" s="384">
        <f t="shared" si="113"/>
        <v>211789.5</v>
      </c>
      <c r="K132" s="384">
        <f t="shared" si="113"/>
        <v>0</v>
      </c>
      <c r="L132" s="384">
        <f t="shared" si="113"/>
        <v>0</v>
      </c>
      <c r="M132" s="384">
        <f t="shared" si="113"/>
        <v>0</v>
      </c>
      <c r="N132" s="384">
        <f t="shared" si="113"/>
        <v>211789.5</v>
      </c>
      <c r="O132" s="384">
        <f t="shared" si="113"/>
        <v>12900728.83</v>
      </c>
      <c r="P132" s="384">
        <f t="shared" si="113"/>
        <v>2426336.71</v>
      </c>
      <c r="Q132" s="384">
        <f t="shared" si="113"/>
        <v>5866570.8799999999</v>
      </c>
      <c r="R132" s="384">
        <f t="shared" si="113"/>
        <v>703520.69</v>
      </c>
      <c r="S132" s="384">
        <f t="shared" si="113"/>
        <v>3904300.55</v>
      </c>
      <c r="T132" s="384">
        <f t="shared" si="113"/>
        <v>56384411.389999993</v>
      </c>
      <c r="U132" s="384">
        <f t="shared" si="113"/>
        <v>10590571.779999999</v>
      </c>
      <c r="V132" s="384">
        <f t="shared" si="113"/>
        <v>25601938.489999998</v>
      </c>
      <c r="W132" s="384">
        <f t="shared" si="113"/>
        <v>3071141.46</v>
      </c>
      <c r="X132" s="384">
        <f t="shared" si="113"/>
        <v>17120759.66</v>
      </c>
      <c r="Y132" s="384">
        <f t="shared" si="113"/>
        <v>10795142.699999997</v>
      </c>
      <c r="Z132" s="384">
        <f t="shared" si="113"/>
        <v>0</v>
      </c>
      <c r="AA132" s="384">
        <f t="shared" si="113"/>
        <v>0</v>
      </c>
      <c r="AB132" s="384">
        <f t="shared" si="113"/>
        <v>0</v>
      </c>
      <c r="AC132" s="384">
        <f t="shared" si="113"/>
        <v>10795142.699999997</v>
      </c>
      <c r="AD132" s="384">
        <f t="shared" si="113"/>
        <v>1570000</v>
      </c>
      <c r="AE132" s="384">
        <f t="shared" si="113"/>
        <v>0</v>
      </c>
      <c r="AF132" s="384">
        <f t="shared" si="113"/>
        <v>0</v>
      </c>
      <c r="AG132" s="384">
        <f t="shared" si="113"/>
        <v>0</v>
      </c>
      <c r="AH132" s="384">
        <f t="shared" si="113"/>
        <v>1570000</v>
      </c>
      <c r="AI132" s="384">
        <f t="shared" si="113"/>
        <v>2049263.58</v>
      </c>
      <c r="AJ132" s="384">
        <f t="shared" si="113"/>
        <v>0</v>
      </c>
      <c r="AK132" s="384">
        <f t="shared" si="113"/>
        <v>0</v>
      </c>
      <c r="AL132" s="384">
        <f t="shared" si="113"/>
        <v>0</v>
      </c>
      <c r="AM132" s="384">
        <f t="shared" si="113"/>
        <v>2049263.58</v>
      </c>
      <c r="AN132" s="384">
        <f t="shared" si="113"/>
        <v>1690.14</v>
      </c>
      <c r="AO132" s="384">
        <f t="shared" si="113"/>
        <v>0</v>
      </c>
      <c r="AP132" s="384">
        <f t="shared" si="113"/>
        <v>0</v>
      </c>
      <c r="AQ132" s="384">
        <f t="shared" si="113"/>
        <v>0</v>
      </c>
      <c r="AR132" s="384">
        <f t="shared" si="113"/>
        <v>1690.14</v>
      </c>
      <c r="AS132" s="384">
        <v>1072355.6500000001</v>
      </c>
      <c r="AT132" s="384">
        <v>0</v>
      </c>
      <c r="AU132" s="384">
        <v>0</v>
      </c>
      <c r="AV132" s="384">
        <v>0</v>
      </c>
      <c r="AW132" s="384">
        <v>1072355.6500000001</v>
      </c>
      <c r="AX132" s="384">
        <f t="shared" ref="AX132:BB132" si="114">SUM(AX133:AX156)</f>
        <v>0</v>
      </c>
      <c r="AY132" s="384">
        <f t="shared" si="114"/>
        <v>0</v>
      </c>
      <c r="AZ132" s="384">
        <f t="shared" si="114"/>
        <v>0</v>
      </c>
      <c r="BA132" s="384">
        <f t="shared" si="114"/>
        <v>0</v>
      </c>
      <c r="BB132" s="384">
        <f t="shared" si="114"/>
        <v>0</v>
      </c>
      <c r="BC132" s="384">
        <f t="shared" si="113"/>
        <v>20030.380000005774</v>
      </c>
      <c r="BD132" s="384">
        <f t="shared" ref="BD132:BF132" si="115">SUM(BD133:BD153)</f>
        <v>1398.75</v>
      </c>
      <c r="BE132" s="384">
        <f t="shared" si="115"/>
        <v>1451.7</v>
      </c>
      <c r="BF132" s="384">
        <f t="shared" si="115"/>
        <v>1615.6</v>
      </c>
      <c r="BG132" s="384">
        <f t="shared" ref="BG132:BV132" si="116">SUM(BG133:BG156)</f>
        <v>0</v>
      </c>
      <c r="BH132" s="384">
        <f t="shared" si="116"/>
        <v>0</v>
      </c>
      <c r="BI132" s="384">
        <f t="shared" si="116"/>
        <v>0</v>
      </c>
      <c r="BJ132" s="384">
        <f t="shared" si="116"/>
        <v>0</v>
      </c>
      <c r="BK132" s="384">
        <f t="shared" si="116"/>
        <v>0</v>
      </c>
      <c r="BL132" s="384">
        <f t="shared" si="116"/>
        <v>20030.380000000012</v>
      </c>
      <c r="BM132" s="384">
        <f t="shared" si="116"/>
        <v>0</v>
      </c>
      <c r="BN132" s="384">
        <f t="shared" si="116"/>
        <v>0</v>
      </c>
      <c r="BO132" s="384">
        <f t="shared" si="116"/>
        <v>0</v>
      </c>
      <c r="BP132" s="384">
        <f t="shared" si="116"/>
        <v>20030.380000000012</v>
      </c>
      <c r="BQ132" s="384">
        <f t="shared" si="116"/>
        <v>0</v>
      </c>
      <c r="BR132" s="384">
        <f t="shared" si="116"/>
        <v>0</v>
      </c>
      <c r="BS132" s="384">
        <f t="shared" si="116"/>
        <v>0</v>
      </c>
      <c r="BT132" s="384">
        <f t="shared" si="116"/>
        <v>0</v>
      </c>
      <c r="BU132" s="384">
        <f t="shared" si="116"/>
        <v>0</v>
      </c>
      <c r="BV132" s="384">
        <f t="shared" si="116"/>
        <v>20030.380000005774</v>
      </c>
    </row>
    <row r="133" spans="1:74" ht="190.15" customHeight="1" x14ac:dyDescent="0.25">
      <c r="A133" s="382" t="s">
        <v>83</v>
      </c>
      <c r="B133" s="383" t="s">
        <v>32</v>
      </c>
      <c r="C133" s="374">
        <v>310</v>
      </c>
      <c r="D133" s="387" t="s">
        <v>567</v>
      </c>
      <c r="E133" s="384">
        <f>F133+G133+H133+I133</f>
        <v>78003962.150000006</v>
      </c>
      <c r="F133" s="384">
        <v>13016908.49</v>
      </c>
      <c r="G133" s="384">
        <v>31468509.370000001</v>
      </c>
      <c r="H133" s="384">
        <v>3774662.15</v>
      </c>
      <c r="I133" s="384">
        <v>29743882.140000001</v>
      </c>
      <c r="J133" s="384">
        <f t="shared" ref="J133:J148" si="117">K133+L133+M133+N133</f>
        <v>0</v>
      </c>
      <c r="K133" s="384"/>
      <c r="L133" s="384"/>
      <c r="M133" s="384"/>
      <c r="N133" s="384"/>
      <c r="O133" s="384">
        <f t="shared" si="78"/>
        <v>8996428.2799999993</v>
      </c>
      <c r="P133" s="384">
        <v>2426336.71</v>
      </c>
      <c r="Q133" s="384">
        <v>5866570.8799999999</v>
      </c>
      <c r="R133" s="384">
        <v>703520.69</v>
      </c>
      <c r="S133" s="384"/>
      <c r="T133" s="384">
        <f t="shared" ref="T133:T148" si="118">U133+V133+W133+X133</f>
        <v>55506586.640000001</v>
      </c>
      <c r="U133" s="384">
        <v>10590571.779999999</v>
      </c>
      <c r="V133" s="384">
        <v>25601938.489999998</v>
      </c>
      <c r="W133" s="384">
        <v>3071141.46</v>
      </c>
      <c r="X133" s="384">
        <v>16242934.91</v>
      </c>
      <c r="Y133" s="384">
        <f t="shared" si="100"/>
        <v>10136082.659999998</v>
      </c>
      <c r="Z133" s="384"/>
      <c r="AA133" s="384"/>
      <c r="AB133" s="384"/>
      <c r="AC133" s="386">
        <f>9813221.29+322861.37</f>
        <v>10136082.659999998</v>
      </c>
      <c r="AD133" s="384">
        <f t="shared" ref="AD133:AD147" si="119">SUM(AE133:AH133)</f>
        <v>1500000</v>
      </c>
      <c r="AE133" s="384"/>
      <c r="AF133" s="384"/>
      <c r="AG133" s="384"/>
      <c r="AH133" s="386">
        <v>1500000</v>
      </c>
      <c r="AI133" s="384">
        <f t="shared" ref="AI133:AI148" si="120">SUM(AJ133:AM133)</f>
        <v>1864864.57</v>
      </c>
      <c r="AJ133" s="384"/>
      <c r="AK133" s="384"/>
      <c r="AL133" s="384"/>
      <c r="AM133" s="386">
        <v>1864864.57</v>
      </c>
      <c r="AN133" s="384">
        <v>0</v>
      </c>
      <c r="AO133" s="384"/>
      <c r="AP133" s="384"/>
      <c r="AQ133" s="384"/>
      <c r="AR133" s="386"/>
      <c r="AS133" s="384">
        <v>0</v>
      </c>
      <c r="AT133" s="384"/>
      <c r="AU133" s="384"/>
      <c r="AV133" s="384"/>
      <c r="AW133" s="386"/>
      <c r="AX133" s="384">
        <f t="shared" ref="AX133:AX148" si="121">SUM(AY133:BB133)</f>
        <v>0</v>
      </c>
      <c r="AY133" s="384"/>
      <c r="AZ133" s="384"/>
      <c r="BA133" s="384"/>
      <c r="BB133" s="386"/>
      <c r="BC133" s="384">
        <f>E133-J133-O133-T133-Y133-AD133-AI133-AN133-AS133-AX133</f>
        <v>5.8207660913467407E-9</v>
      </c>
      <c r="BD133" s="384">
        <v>1398.75</v>
      </c>
      <c r="BE133" s="384">
        <v>1451.7</v>
      </c>
      <c r="BF133" s="384">
        <v>1615.6</v>
      </c>
      <c r="BG133" s="384">
        <f t="shared" ref="BG133:BG148" si="122">SUM(BH133:BK133)</f>
        <v>0</v>
      </c>
      <c r="BH133" s="384"/>
      <c r="BI133" s="384"/>
      <c r="BJ133" s="384"/>
      <c r="BK133" s="384"/>
      <c r="BL133" s="384">
        <f t="shared" si="67"/>
        <v>0</v>
      </c>
      <c r="BM133" s="384"/>
      <c r="BN133" s="384"/>
      <c r="BO133" s="384"/>
      <c r="BP133" s="384"/>
      <c r="BQ133" s="384">
        <f t="shared" ref="BQ133:BQ148" si="123">SUM(BR133:BU133)</f>
        <v>0</v>
      </c>
      <c r="BR133" s="384"/>
      <c r="BS133" s="384"/>
      <c r="BT133" s="384"/>
      <c r="BU133" s="386"/>
      <c r="BV133" s="384">
        <f t="shared" ref="BV133:BV156" si="124">BC133-BQ133</f>
        <v>5.8207660913467407E-9</v>
      </c>
    </row>
    <row r="134" spans="1:74" ht="34.9" customHeight="1" x14ac:dyDescent="0.25">
      <c r="A134" s="382" t="s">
        <v>84</v>
      </c>
      <c r="B134" s="383" t="s">
        <v>10</v>
      </c>
      <c r="C134" s="374">
        <v>226</v>
      </c>
      <c r="D134" s="387" t="s">
        <v>553</v>
      </c>
      <c r="E134" s="384">
        <f>F134+G134+H134+I134</f>
        <v>5000</v>
      </c>
      <c r="F134" s="384"/>
      <c r="G134" s="384"/>
      <c r="H134" s="384"/>
      <c r="I134" s="384">
        <v>5000</v>
      </c>
      <c r="J134" s="384">
        <f t="shared" si="117"/>
        <v>5000</v>
      </c>
      <c r="K134" s="384"/>
      <c r="L134" s="384"/>
      <c r="M134" s="384"/>
      <c r="N134" s="384">
        <v>5000</v>
      </c>
      <c r="O134" s="384">
        <f t="shared" si="78"/>
        <v>0</v>
      </c>
      <c r="P134" s="384"/>
      <c r="Q134" s="384"/>
      <c r="R134" s="384"/>
      <c r="S134" s="384"/>
      <c r="T134" s="384">
        <f t="shared" si="118"/>
        <v>0</v>
      </c>
      <c r="U134" s="384"/>
      <c r="V134" s="384"/>
      <c r="W134" s="384"/>
      <c r="X134" s="384"/>
      <c r="Y134" s="384">
        <f t="shared" si="100"/>
        <v>0</v>
      </c>
      <c r="Z134" s="384"/>
      <c r="AA134" s="384"/>
      <c r="AB134" s="384"/>
      <c r="AC134" s="386"/>
      <c r="AD134" s="384">
        <f t="shared" si="119"/>
        <v>0</v>
      </c>
      <c r="AE134" s="384"/>
      <c r="AF134" s="384"/>
      <c r="AG134" s="384"/>
      <c r="AH134" s="386"/>
      <c r="AI134" s="384">
        <f t="shared" si="120"/>
        <v>0</v>
      </c>
      <c r="AJ134" s="384"/>
      <c r="AK134" s="384"/>
      <c r="AL134" s="384"/>
      <c r="AM134" s="386"/>
      <c r="AN134" s="384">
        <v>0</v>
      </c>
      <c r="AO134" s="384"/>
      <c r="AP134" s="384"/>
      <c r="AQ134" s="384"/>
      <c r="AR134" s="386"/>
      <c r="AS134" s="384">
        <v>0</v>
      </c>
      <c r="AT134" s="384"/>
      <c r="AU134" s="384"/>
      <c r="AV134" s="384"/>
      <c r="AW134" s="386"/>
      <c r="AX134" s="384">
        <f t="shared" si="121"/>
        <v>0</v>
      </c>
      <c r="AY134" s="384"/>
      <c r="AZ134" s="384"/>
      <c r="BA134" s="384"/>
      <c r="BB134" s="386"/>
      <c r="BC134" s="384">
        <f t="shared" ref="BC134:BC156" si="125">E134-J134-O134-T134-Y134-AD134-AI134-AN134-AS134-AX134</f>
        <v>0</v>
      </c>
      <c r="BD134" s="384"/>
      <c r="BE134" s="384"/>
      <c r="BF134" s="384"/>
      <c r="BG134" s="384">
        <f t="shared" si="122"/>
        <v>0</v>
      </c>
      <c r="BH134" s="384"/>
      <c r="BI134" s="384"/>
      <c r="BJ134" s="384"/>
      <c r="BK134" s="384"/>
      <c r="BL134" s="384">
        <f t="shared" si="67"/>
        <v>0</v>
      </c>
      <c r="BM134" s="384"/>
      <c r="BN134" s="384"/>
      <c r="BO134" s="384"/>
      <c r="BP134" s="384"/>
      <c r="BQ134" s="384">
        <f t="shared" si="123"/>
        <v>0</v>
      </c>
      <c r="BR134" s="384"/>
      <c r="BS134" s="384"/>
      <c r="BT134" s="384"/>
      <c r="BU134" s="386"/>
      <c r="BV134" s="384">
        <f t="shared" si="124"/>
        <v>0</v>
      </c>
    </row>
    <row r="135" spans="1:74" ht="34.9" customHeight="1" x14ac:dyDescent="0.25">
      <c r="A135" s="382" t="s">
        <v>85</v>
      </c>
      <c r="B135" s="383" t="s">
        <v>8</v>
      </c>
      <c r="C135" s="374">
        <v>226</v>
      </c>
      <c r="D135" s="387" t="s">
        <v>568</v>
      </c>
      <c r="E135" s="384">
        <f t="shared" ref="E135:E147" si="126">F135+G135+H135+I135</f>
        <v>7500</v>
      </c>
      <c r="F135" s="384"/>
      <c r="G135" s="384"/>
      <c r="H135" s="384"/>
      <c r="I135" s="384">
        <v>7500</v>
      </c>
      <c r="J135" s="384">
        <f t="shared" si="117"/>
        <v>0</v>
      </c>
      <c r="K135" s="384"/>
      <c r="L135" s="384"/>
      <c r="M135" s="384"/>
      <c r="N135" s="384"/>
      <c r="O135" s="384">
        <f t="shared" si="78"/>
        <v>7500</v>
      </c>
      <c r="P135" s="384"/>
      <c r="Q135" s="384"/>
      <c r="R135" s="384"/>
      <c r="S135" s="384">
        <v>7500</v>
      </c>
      <c r="T135" s="384">
        <f t="shared" si="118"/>
        <v>0</v>
      </c>
      <c r="U135" s="384"/>
      <c r="V135" s="384"/>
      <c r="W135" s="384"/>
      <c r="X135" s="384"/>
      <c r="Y135" s="384">
        <f t="shared" si="100"/>
        <v>0</v>
      </c>
      <c r="Z135" s="384"/>
      <c r="AA135" s="384"/>
      <c r="AB135" s="384"/>
      <c r="AC135" s="386"/>
      <c r="AD135" s="384">
        <f t="shared" si="119"/>
        <v>0</v>
      </c>
      <c r="AE135" s="384"/>
      <c r="AF135" s="384"/>
      <c r="AG135" s="384"/>
      <c r="AH135" s="386"/>
      <c r="AI135" s="384">
        <f t="shared" si="120"/>
        <v>0</v>
      </c>
      <c r="AJ135" s="384"/>
      <c r="AK135" s="384"/>
      <c r="AL135" s="384"/>
      <c r="AM135" s="386"/>
      <c r="AN135" s="384">
        <v>0</v>
      </c>
      <c r="AO135" s="384"/>
      <c r="AP135" s="384"/>
      <c r="AQ135" s="384"/>
      <c r="AR135" s="386"/>
      <c r="AS135" s="384">
        <v>0</v>
      </c>
      <c r="AT135" s="384"/>
      <c r="AU135" s="384"/>
      <c r="AV135" s="384"/>
      <c r="AW135" s="386"/>
      <c r="AX135" s="384">
        <f t="shared" si="121"/>
        <v>0</v>
      </c>
      <c r="AY135" s="384"/>
      <c r="AZ135" s="384"/>
      <c r="BA135" s="384"/>
      <c r="BB135" s="386"/>
      <c r="BC135" s="384">
        <f t="shared" si="125"/>
        <v>0</v>
      </c>
      <c r="BD135" s="384"/>
      <c r="BE135" s="384"/>
      <c r="BF135" s="384"/>
      <c r="BG135" s="384">
        <f t="shared" si="122"/>
        <v>0</v>
      </c>
      <c r="BH135" s="384"/>
      <c r="BI135" s="384"/>
      <c r="BJ135" s="384"/>
      <c r="BK135" s="384"/>
      <c r="BL135" s="384">
        <f t="shared" si="67"/>
        <v>0</v>
      </c>
      <c r="BM135" s="384"/>
      <c r="BN135" s="384"/>
      <c r="BO135" s="384"/>
      <c r="BP135" s="384"/>
      <c r="BQ135" s="384">
        <f t="shared" si="123"/>
        <v>0</v>
      </c>
      <c r="BR135" s="384"/>
      <c r="BS135" s="384"/>
      <c r="BT135" s="384"/>
      <c r="BU135" s="386"/>
      <c r="BV135" s="384">
        <f t="shared" si="124"/>
        <v>0</v>
      </c>
    </row>
    <row r="136" spans="1:74" ht="40.9" customHeight="1" x14ac:dyDescent="0.25">
      <c r="A136" s="382" t="s">
        <v>86</v>
      </c>
      <c r="B136" s="383" t="s">
        <v>1</v>
      </c>
      <c r="C136" s="374">
        <v>226</v>
      </c>
      <c r="D136" s="387" t="s">
        <v>492</v>
      </c>
      <c r="E136" s="384">
        <f t="shared" si="126"/>
        <v>206789.5</v>
      </c>
      <c r="F136" s="384"/>
      <c r="G136" s="384"/>
      <c r="H136" s="384"/>
      <c r="I136" s="384">
        <v>206789.5</v>
      </c>
      <c r="J136" s="384">
        <f t="shared" si="117"/>
        <v>206789.5</v>
      </c>
      <c r="K136" s="384"/>
      <c r="L136" s="384"/>
      <c r="M136" s="384"/>
      <c r="N136" s="384">
        <v>206789.5</v>
      </c>
      <c r="O136" s="384">
        <f t="shared" si="78"/>
        <v>0</v>
      </c>
      <c r="P136" s="384"/>
      <c r="Q136" s="384"/>
      <c r="R136" s="384"/>
      <c r="S136" s="384"/>
      <c r="T136" s="384">
        <f t="shared" si="118"/>
        <v>0</v>
      </c>
      <c r="U136" s="384"/>
      <c r="V136" s="384"/>
      <c r="W136" s="384"/>
      <c r="X136" s="384"/>
      <c r="Y136" s="384">
        <f t="shared" si="100"/>
        <v>0</v>
      </c>
      <c r="Z136" s="384"/>
      <c r="AA136" s="384"/>
      <c r="AB136" s="384"/>
      <c r="AC136" s="386"/>
      <c r="AD136" s="384">
        <f t="shared" si="119"/>
        <v>0</v>
      </c>
      <c r="AE136" s="384"/>
      <c r="AF136" s="384"/>
      <c r="AG136" s="384"/>
      <c r="AH136" s="386"/>
      <c r="AI136" s="384">
        <f t="shared" si="120"/>
        <v>0</v>
      </c>
      <c r="AJ136" s="384"/>
      <c r="AK136" s="384"/>
      <c r="AL136" s="384"/>
      <c r="AM136" s="386"/>
      <c r="AN136" s="384">
        <v>0</v>
      </c>
      <c r="AO136" s="384"/>
      <c r="AP136" s="384"/>
      <c r="AQ136" s="384"/>
      <c r="AR136" s="386"/>
      <c r="AS136" s="384">
        <v>0</v>
      </c>
      <c r="AT136" s="384"/>
      <c r="AU136" s="384"/>
      <c r="AV136" s="384"/>
      <c r="AW136" s="386"/>
      <c r="AX136" s="384">
        <f t="shared" si="121"/>
        <v>0</v>
      </c>
      <c r="AY136" s="384"/>
      <c r="AZ136" s="384"/>
      <c r="BA136" s="384"/>
      <c r="BB136" s="386"/>
      <c r="BC136" s="384">
        <f t="shared" si="125"/>
        <v>0</v>
      </c>
      <c r="BD136" s="384"/>
      <c r="BE136" s="384"/>
      <c r="BF136" s="384"/>
      <c r="BG136" s="384">
        <f t="shared" si="122"/>
        <v>0</v>
      </c>
      <c r="BH136" s="384"/>
      <c r="BI136" s="384"/>
      <c r="BJ136" s="384"/>
      <c r="BK136" s="384"/>
      <c r="BL136" s="384">
        <f t="shared" si="67"/>
        <v>0</v>
      </c>
      <c r="BM136" s="384"/>
      <c r="BN136" s="384"/>
      <c r="BO136" s="384"/>
      <c r="BP136" s="384"/>
      <c r="BQ136" s="384">
        <f t="shared" si="123"/>
        <v>0</v>
      </c>
      <c r="BR136" s="384"/>
      <c r="BS136" s="384"/>
      <c r="BT136" s="384"/>
      <c r="BU136" s="386"/>
      <c r="BV136" s="384">
        <f t="shared" si="124"/>
        <v>0</v>
      </c>
    </row>
    <row r="137" spans="1:74" ht="25.15" customHeight="1" x14ac:dyDescent="0.25">
      <c r="A137" s="382" t="s">
        <v>87</v>
      </c>
      <c r="B137" s="383" t="s">
        <v>1</v>
      </c>
      <c r="C137" s="374">
        <v>226</v>
      </c>
      <c r="D137" s="387" t="s">
        <v>569</v>
      </c>
      <c r="E137" s="384">
        <f t="shared" si="126"/>
        <v>19644.419999999998</v>
      </c>
      <c r="F137" s="384"/>
      <c r="G137" s="384"/>
      <c r="H137" s="384"/>
      <c r="I137" s="384">
        <v>19644.419999999998</v>
      </c>
      <c r="J137" s="384">
        <f t="shared" si="117"/>
        <v>0</v>
      </c>
      <c r="K137" s="384"/>
      <c r="L137" s="384"/>
      <c r="M137" s="384"/>
      <c r="N137" s="384"/>
      <c r="O137" s="384">
        <f t="shared" si="78"/>
        <v>19644.419999999998</v>
      </c>
      <c r="P137" s="384"/>
      <c r="Q137" s="384"/>
      <c r="R137" s="384"/>
      <c r="S137" s="384">
        <v>19644.419999999998</v>
      </c>
      <c r="T137" s="384">
        <f t="shared" si="118"/>
        <v>0</v>
      </c>
      <c r="U137" s="384"/>
      <c r="V137" s="384"/>
      <c r="W137" s="384"/>
      <c r="X137" s="384"/>
      <c r="Y137" s="384">
        <f t="shared" si="100"/>
        <v>0</v>
      </c>
      <c r="Z137" s="384"/>
      <c r="AA137" s="384"/>
      <c r="AB137" s="384"/>
      <c r="AC137" s="386"/>
      <c r="AD137" s="384">
        <f t="shared" si="119"/>
        <v>0</v>
      </c>
      <c r="AE137" s="384"/>
      <c r="AF137" s="384"/>
      <c r="AG137" s="384"/>
      <c r="AH137" s="386"/>
      <c r="AI137" s="384">
        <f t="shared" si="120"/>
        <v>0</v>
      </c>
      <c r="AJ137" s="384"/>
      <c r="AK137" s="384"/>
      <c r="AL137" s="384"/>
      <c r="AM137" s="386"/>
      <c r="AN137" s="384">
        <v>0</v>
      </c>
      <c r="AO137" s="384"/>
      <c r="AP137" s="384"/>
      <c r="AQ137" s="384"/>
      <c r="AR137" s="386"/>
      <c r="AS137" s="384">
        <v>0</v>
      </c>
      <c r="AT137" s="384"/>
      <c r="AU137" s="384"/>
      <c r="AV137" s="384"/>
      <c r="AW137" s="386"/>
      <c r="AX137" s="384">
        <f t="shared" si="121"/>
        <v>0</v>
      </c>
      <c r="AY137" s="384"/>
      <c r="AZ137" s="384"/>
      <c r="BA137" s="384"/>
      <c r="BB137" s="386"/>
      <c r="BC137" s="384">
        <f t="shared" si="125"/>
        <v>0</v>
      </c>
      <c r="BD137" s="384"/>
      <c r="BE137" s="384"/>
      <c r="BF137" s="384"/>
      <c r="BG137" s="384">
        <f t="shared" si="122"/>
        <v>0</v>
      </c>
      <c r="BH137" s="384"/>
      <c r="BI137" s="384"/>
      <c r="BJ137" s="384"/>
      <c r="BK137" s="384"/>
      <c r="BL137" s="384">
        <f t="shared" si="67"/>
        <v>0</v>
      </c>
      <c r="BM137" s="384"/>
      <c r="BN137" s="384"/>
      <c r="BO137" s="384"/>
      <c r="BP137" s="384"/>
      <c r="BQ137" s="384">
        <f t="shared" si="123"/>
        <v>0</v>
      </c>
      <c r="BR137" s="384"/>
      <c r="BS137" s="384"/>
      <c r="BT137" s="384"/>
      <c r="BU137" s="386"/>
      <c r="BV137" s="384">
        <f t="shared" si="124"/>
        <v>0</v>
      </c>
    </row>
    <row r="138" spans="1:74" ht="42" customHeight="1" x14ac:dyDescent="0.25">
      <c r="A138" s="382" t="s">
        <v>88</v>
      </c>
      <c r="B138" s="383" t="s">
        <v>378</v>
      </c>
      <c r="C138" s="374">
        <v>226</v>
      </c>
      <c r="D138" s="387" t="s">
        <v>570</v>
      </c>
      <c r="E138" s="384">
        <f t="shared" si="126"/>
        <v>19869</v>
      </c>
      <c r="F138" s="384"/>
      <c r="G138" s="384"/>
      <c r="H138" s="384"/>
      <c r="I138" s="384">
        <v>19869</v>
      </c>
      <c r="J138" s="384">
        <f t="shared" si="117"/>
        <v>0</v>
      </c>
      <c r="K138" s="384"/>
      <c r="L138" s="384"/>
      <c r="M138" s="384"/>
      <c r="N138" s="384"/>
      <c r="O138" s="384">
        <f t="shared" si="78"/>
        <v>0</v>
      </c>
      <c r="P138" s="384"/>
      <c r="Q138" s="384"/>
      <c r="R138" s="384"/>
      <c r="S138" s="384"/>
      <c r="T138" s="384">
        <f t="shared" si="118"/>
        <v>0</v>
      </c>
      <c r="U138" s="384"/>
      <c r="V138" s="384"/>
      <c r="W138" s="384"/>
      <c r="X138" s="384"/>
      <c r="Y138" s="384">
        <f t="shared" si="100"/>
        <v>19869</v>
      </c>
      <c r="Z138" s="384"/>
      <c r="AA138" s="384"/>
      <c r="AB138" s="384"/>
      <c r="AC138" s="386">
        <v>19869</v>
      </c>
      <c r="AD138" s="384">
        <f t="shared" si="119"/>
        <v>0</v>
      </c>
      <c r="AE138" s="384"/>
      <c r="AF138" s="384"/>
      <c r="AG138" s="384"/>
      <c r="AH138" s="386"/>
      <c r="AI138" s="384">
        <f t="shared" si="120"/>
        <v>0</v>
      </c>
      <c r="AJ138" s="384"/>
      <c r="AK138" s="384"/>
      <c r="AL138" s="384"/>
      <c r="AM138" s="386"/>
      <c r="AN138" s="384">
        <v>0</v>
      </c>
      <c r="AO138" s="384"/>
      <c r="AP138" s="384"/>
      <c r="AQ138" s="384"/>
      <c r="AR138" s="386"/>
      <c r="AS138" s="384">
        <v>0</v>
      </c>
      <c r="AT138" s="384"/>
      <c r="AU138" s="384"/>
      <c r="AV138" s="384"/>
      <c r="AW138" s="386"/>
      <c r="AX138" s="384">
        <f t="shared" si="121"/>
        <v>0</v>
      </c>
      <c r="AY138" s="384"/>
      <c r="AZ138" s="384"/>
      <c r="BA138" s="384"/>
      <c r="BB138" s="386"/>
      <c r="BC138" s="384">
        <f t="shared" si="125"/>
        <v>0</v>
      </c>
      <c r="BD138" s="384"/>
      <c r="BE138" s="384"/>
      <c r="BF138" s="384"/>
      <c r="BG138" s="384">
        <f t="shared" si="122"/>
        <v>0</v>
      </c>
      <c r="BH138" s="384"/>
      <c r="BI138" s="384"/>
      <c r="BJ138" s="384"/>
      <c r="BK138" s="384"/>
      <c r="BL138" s="384">
        <f t="shared" si="67"/>
        <v>0</v>
      </c>
      <c r="BM138" s="384"/>
      <c r="BN138" s="384"/>
      <c r="BO138" s="384"/>
      <c r="BP138" s="384"/>
      <c r="BQ138" s="384">
        <f t="shared" si="123"/>
        <v>0</v>
      </c>
      <c r="BR138" s="384"/>
      <c r="BS138" s="384"/>
      <c r="BT138" s="384"/>
      <c r="BU138" s="386"/>
      <c r="BV138" s="384">
        <f t="shared" si="124"/>
        <v>0</v>
      </c>
    </row>
    <row r="139" spans="1:74" ht="55.15" customHeight="1" x14ac:dyDescent="0.25">
      <c r="A139" s="382" t="s">
        <v>89</v>
      </c>
      <c r="B139" s="383" t="s">
        <v>11</v>
      </c>
      <c r="C139" s="374">
        <v>226</v>
      </c>
      <c r="D139" s="387" t="s">
        <v>571</v>
      </c>
      <c r="E139" s="384">
        <f t="shared" si="126"/>
        <v>1470952.6</v>
      </c>
      <c r="F139" s="384"/>
      <c r="G139" s="384"/>
      <c r="H139" s="384"/>
      <c r="I139" s="384">
        <v>1470952.6</v>
      </c>
      <c r="J139" s="384">
        <f t="shared" si="117"/>
        <v>0</v>
      </c>
      <c r="K139" s="384"/>
      <c r="L139" s="384"/>
      <c r="M139" s="384"/>
      <c r="N139" s="384"/>
      <c r="O139" s="384">
        <f t="shared" si="78"/>
        <v>1470952.6</v>
      </c>
      <c r="P139" s="384"/>
      <c r="Q139" s="384"/>
      <c r="R139" s="384"/>
      <c r="S139" s="384">
        <v>1470952.6</v>
      </c>
      <c r="T139" s="384">
        <f t="shared" si="118"/>
        <v>0</v>
      </c>
      <c r="U139" s="384"/>
      <c r="V139" s="384"/>
      <c r="W139" s="384"/>
      <c r="X139" s="384"/>
      <c r="Y139" s="384">
        <f t="shared" si="100"/>
        <v>0</v>
      </c>
      <c r="Z139" s="384"/>
      <c r="AA139" s="384"/>
      <c r="AB139" s="384"/>
      <c r="AC139" s="386"/>
      <c r="AD139" s="384">
        <f t="shared" si="119"/>
        <v>0</v>
      </c>
      <c r="AE139" s="384"/>
      <c r="AF139" s="384"/>
      <c r="AG139" s="384"/>
      <c r="AH139" s="386"/>
      <c r="AI139" s="384">
        <f t="shared" si="120"/>
        <v>0</v>
      </c>
      <c r="AJ139" s="384"/>
      <c r="AK139" s="384"/>
      <c r="AL139" s="384"/>
      <c r="AM139" s="386"/>
      <c r="AN139" s="384">
        <v>0</v>
      </c>
      <c r="AO139" s="384"/>
      <c r="AP139" s="384"/>
      <c r="AQ139" s="384"/>
      <c r="AR139" s="386"/>
      <c r="AS139" s="384">
        <v>0</v>
      </c>
      <c r="AT139" s="384"/>
      <c r="AU139" s="384"/>
      <c r="AV139" s="384"/>
      <c r="AW139" s="386"/>
      <c r="AX139" s="384">
        <f t="shared" si="121"/>
        <v>0</v>
      </c>
      <c r="AY139" s="384"/>
      <c r="AZ139" s="384"/>
      <c r="BA139" s="384"/>
      <c r="BB139" s="386"/>
      <c r="BC139" s="384">
        <f t="shared" si="125"/>
        <v>0</v>
      </c>
      <c r="BD139" s="384"/>
      <c r="BE139" s="384"/>
      <c r="BF139" s="384"/>
      <c r="BG139" s="384">
        <f t="shared" si="122"/>
        <v>0</v>
      </c>
      <c r="BH139" s="384"/>
      <c r="BI139" s="384"/>
      <c r="BJ139" s="384"/>
      <c r="BK139" s="384"/>
      <c r="BL139" s="384">
        <f t="shared" si="67"/>
        <v>0</v>
      </c>
      <c r="BM139" s="384"/>
      <c r="BN139" s="384"/>
      <c r="BO139" s="384"/>
      <c r="BP139" s="384"/>
      <c r="BQ139" s="384">
        <f t="shared" si="123"/>
        <v>0</v>
      </c>
      <c r="BR139" s="384"/>
      <c r="BS139" s="384"/>
      <c r="BT139" s="384"/>
      <c r="BU139" s="386"/>
      <c r="BV139" s="384">
        <f t="shared" si="124"/>
        <v>0</v>
      </c>
    </row>
    <row r="140" spans="1:74" ht="39.6" customHeight="1" x14ac:dyDescent="0.25">
      <c r="A140" s="382" t="s">
        <v>90</v>
      </c>
      <c r="B140" s="383" t="s">
        <v>20</v>
      </c>
      <c r="C140" s="374">
        <v>226</v>
      </c>
      <c r="D140" s="387" t="s">
        <v>572</v>
      </c>
      <c r="E140" s="384">
        <f t="shared" si="126"/>
        <v>150530.48000000001</v>
      </c>
      <c r="F140" s="384"/>
      <c r="G140" s="384"/>
      <c r="H140" s="384"/>
      <c r="I140" s="384">
        <v>150530.48000000001</v>
      </c>
      <c r="J140" s="384">
        <f t="shared" si="117"/>
        <v>0</v>
      </c>
      <c r="K140" s="384"/>
      <c r="L140" s="384"/>
      <c r="M140" s="384"/>
      <c r="N140" s="384"/>
      <c r="O140" s="384">
        <f t="shared" si="78"/>
        <v>9813.7199999999993</v>
      </c>
      <c r="P140" s="384"/>
      <c r="Q140" s="384"/>
      <c r="R140" s="384"/>
      <c r="S140" s="384">
        <v>9813.7199999999993</v>
      </c>
      <c r="T140" s="384">
        <f t="shared" si="118"/>
        <v>68889.759999999995</v>
      </c>
      <c r="U140" s="384"/>
      <c r="V140" s="384"/>
      <c r="W140" s="384"/>
      <c r="X140" s="384">
        <v>68889.759999999995</v>
      </c>
      <c r="Y140" s="384">
        <f t="shared" si="100"/>
        <v>51796.62</v>
      </c>
      <c r="Z140" s="384"/>
      <c r="AA140" s="384"/>
      <c r="AC140" s="386">
        <f>36873.85+2746.8+3275.22+2058.24+6842.51</f>
        <v>51796.62</v>
      </c>
      <c r="AD140" s="384">
        <f t="shared" si="119"/>
        <v>0</v>
      </c>
      <c r="AE140" s="384"/>
      <c r="AF140" s="384"/>
      <c r="AH140" s="386"/>
      <c r="AI140" s="384">
        <f t="shared" si="120"/>
        <v>0</v>
      </c>
      <c r="AJ140" s="384"/>
      <c r="AK140" s="384"/>
      <c r="AM140" s="386"/>
      <c r="AN140" s="384">
        <v>0</v>
      </c>
      <c r="AO140" s="384"/>
      <c r="AP140" s="384"/>
      <c r="AR140" s="386"/>
      <c r="AS140" s="384">
        <v>0</v>
      </c>
      <c r="AT140" s="384"/>
      <c r="AU140" s="384"/>
      <c r="AW140" s="386"/>
      <c r="AX140" s="384">
        <f t="shared" si="121"/>
        <v>0</v>
      </c>
      <c r="AY140" s="384"/>
      <c r="AZ140" s="384"/>
      <c r="BB140" s="386"/>
      <c r="BC140" s="384">
        <f t="shared" si="125"/>
        <v>20030.380000000012</v>
      </c>
      <c r="BD140" s="384"/>
      <c r="BE140" s="384"/>
      <c r="BF140" s="384"/>
      <c r="BG140" s="384">
        <f t="shared" si="122"/>
        <v>0</v>
      </c>
      <c r="BH140" s="384"/>
      <c r="BI140" s="384"/>
      <c r="BJ140" s="384"/>
      <c r="BK140" s="384"/>
      <c r="BL140" s="384">
        <f t="shared" si="67"/>
        <v>20030.380000000012</v>
      </c>
      <c r="BM140" s="384"/>
      <c r="BN140" s="384"/>
      <c r="BO140" s="384"/>
      <c r="BP140" s="384">
        <f>I140-N140-S140-X140-AC140-AH140-BK140-BB140-AM140-AR140-AW140</f>
        <v>20030.380000000012</v>
      </c>
      <c r="BQ140" s="384">
        <f t="shared" si="123"/>
        <v>0</v>
      </c>
      <c r="BR140" s="384"/>
      <c r="BS140" s="384"/>
      <c r="BU140" s="386"/>
      <c r="BV140" s="384">
        <f t="shared" si="124"/>
        <v>20030.380000000012</v>
      </c>
    </row>
    <row r="141" spans="1:74" ht="42.6" customHeight="1" x14ac:dyDescent="0.25">
      <c r="A141" s="382" t="s">
        <v>91</v>
      </c>
      <c r="B141" s="383" t="s">
        <v>12</v>
      </c>
      <c r="C141" s="374">
        <v>226</v>
      </c>
      <c r="D141" s="387" t="s">
        <v>573</v>
      </c>
      <c r="E141" s="384">
        <f t="shared" si="126"/>
        <v>190961.9</v>
      </c>
      <c r="F141" s="384"/>
      <c r="G141" s="384"/>
      <c r="H141" s="384"/>
      <c r="I141" s="384">
        <v>190961.9</v>
      </c>
      <c r="J141" s="384">
        <f t="shared" si="117"/>
        <v>0</v>
      </c>
      <c r="K141" s="384"/>
      <c r="L141" s="384"/>
      <c r="M141" s="384"/>
      <c r="N141" s="384"/>
      <c r="O141" s="384">
        <f t="shared" si="78"/>
        <v>57288.57</v>
      </c>
      <c r="P141" s="384"/>
      <c r="Q141" s="384"/>
      <c r="R141" s="384"/>
      <c r="S141" s="384">
        <v>57288.57</v>
      </c>
      <c r="T141" s="384">
        <f t="shared" si="118"/>
        <v>0</v>
      </c>
      <c r="U141" s="384"/>
      <c r="V141" s="384"/>
      <c r="W141" s="384"/>
      <c r="X141" s="384"/>
      <c r="Y141" s="384">
        <f t="shared" si="100"/>
        <v>133673.32999999999</v>
      </c>
      <c r="Z141" s="384"/>
      <c r="AA141" s="384"/>
      <c r="AB141" s="384"/>
      <c r="AC141" s="386">
        <v>133673.32999999999</v>
      </c>
      <c r="AD141" s="384">
        <f t="shared" si="119"/>
        <v>0</v>
      </c>
      <c r="AE141" s="384"/>
      <c r="AF141" s="384"/>
      <c r="AG141" s="384"/>
      <c r="AH141" s="386"/>
      <c r="AI141" s="384">
        <f t="shared" si="120"/>
        <v>0</v>
      </c>
      <c r="AJ141" s="384"/>
      <c r="AK141" s="384"/>
      <c r="AL141" s="384"/>
      <c r="AM141" s="386"/>
      <c r="AN141" s="384">
        <v>0</v>
      </c>
      <c r="AO141" s="384"/>
      <c r="AP141" s="384"/>
      <c r="AQ141" s="384"/>
      <c r="AR141" s="386"/>
      <c r="AS141" s="384">
        <v>0</v>
      </c>
      <c r="AT141" s="384"/>
      <c r="AU141" s="384"/>
      <c r="AV141" s="384"/>
      <c r="AW141" s="386"/>
      <c r="AX141" s="384">
        <f t="shared" si="121"/>
        <v>0</v>
      </c>
      <c r="AY141" s="384"/>
      <c r="AZ141" s="384"/>
      <c r="BA141" s="384"/>
      <c r="BB141" s="386"/>
      <c r="BC141" s="384">
        <f t="shared" si="125"/>
        <v>0</v>
      </c>
      <c r="BD141" s="384"/>
      <c r="BE141" s="384"/>
      <c r="BF141" s="384"/>
      <c r="BG141" s="384">
        <f t="shared" si="122"/>
        <v>0</v>
      </c>
      <c r="BH141" s="384"/>
      <c r="BI141" s="384"/>
      <c r="BJ141" s="384"/>
      <c r="BK141" s="384"/>
      <c r="BL141" s="384">
        <f t="shared" si="67"/>
        <v>0</v>
      </c>
      <c r="BM141" s="384"/>
      <c r="BN141" s="384"/>
      <c r="BO141" s="384"/>
      <c r="BP141" s="384"/>
      <c r="BQ141" s="384">
        <f t="shared" si="123"/>
        <v>0</v>
      </c>
      <c r="BR141" s="384"/>
      <c r="BS141" s="384"/>
      <c r="BT141" s="384"/>
      <c r="BU141" s="386"/>
      <c r="BV141" s="384">
        <f t="shared" si="124"/>
        <v>0</v>
      </c>
    </row>
    <row r="142" spans="1:74" ht="41.45" customHeight="1" x14ac:dyDescent="0.25">
      <c r="A142" s="382" t="s">
        <v>92</v>
      </c>
      <c r="B142" s="383" t="s">
        <v>13</v>
      </c>
      <c r="C142" s="374">
        <v>226</v>
      </c>
      <c r="D142" s="387" t="s">
        <v>574</v>
      </c>
      <c r="E142" s="384">
        <f t="shared" si="126"/>
        <v>1024528.19</v>
      </c>
      <c r="F142" s="384"/>
      <c r="G142" s="384"/>
      <c r="H142" s="384"/>
      <c r="I142" s="384">
        <v>1024528.19</v>
      </c>
      <c r="J142" s="384">
        <f t="shared" si="117"/>
        <v>0</v>
      </c>
      <c r="K142" s="384"/>
      <c r="L142" s="384"/>
      <c r="M142" s="384"/>
      <c r="N142" s="384"/>
      <c r="O142" s="384">
        <f t="shared" si="78"/>
        <v>665943.31999999995</v>
      </c>
      <c r="P142" s="384"/>
      <c r="Q142" s="384"/>
      <c r="R142" s="384"/>
      <c r="S142" s="384">
        <v>665943.31999999995</v>
      </c>
      <c r="T142" s="384">
        <f t="shared" si="118"/>
        <v>358584.87</v>
      </c>
      <c r="U142" s="384"/>
      <c r="V142" s="384"/>
      <c r="W142" s="384"/>
      <c r="X142" s="384">
        <v>358584.87</v>
      </c>
      <c r="Y142" s="384">
        <f t="shared" si="100"/>
        <v>0</v>
      </c>
      <c r="Z142" s="384"/>
      <c r="AA142" s="384"/>
      <c r="AB142" s="384"/>
      <c r="AC142" s="386"/>
      <c r="AD142" s="384">
        <f t="shared" si="119"/>
        <v>0</v>
      </c>
      <c r="AE142" s="384"/>
      <c r="AF142" s="384"/>
      <c r="AG142" s="384"/>
      <c r="AH142" s="386"/>
      <c r="AI142" s="384">
        <f t="shared" si="120"/>
        <v>0</v>
      </c>
      <c r="AJ142" s="384"/>
      <c r="AK142" s="384"/>
      <c r="AL142" s="384"/>
      <c r="AM142" s="386"/>
      <c r="AN142" s="384">
        <v>0</v>
      </c>
      <c r="AO142" s="384"/>
      <c r="AP142" s="384"/>
      <c r="AQ142" s="384"/>
      <c r="AR142" s="386"/>
      <c r="AS142" s="384">
        <v>0</v>
      </c>
      <c r="AT142" s="384"/>
      <c r="AU142" s="384"/>
      <c r="AV142" s="384"/>
      <c r="AW142" s="386"/>
      <c r="AX142" s="384">
        <f t="shared" si="121"/>
        <v>0</v>
      </c>
      <c r="AY142" s="384"/>
      <c r="AZ142" s="384"/>
      <c r="BA142" s="384"/>
      <c r="BB142" s="386"/>
      <c r="BC142" s="384">
        <f t="shared" si="125"/>
        <v>0</v>
      </c>
      <c r="BD142" s="384"/>
      <c r="BE142" s="384"/>
      <c r="BF142" s="384"/>
      <c r="BG142" s="384">
        <f t="shared" si="122"/>
        <v>0</v>
      </c>
      <c r="BH142" s="384"/>
      <c r="BI142" s="384"/>
      <c r="BJ142" s="384"/>
      <c r="BK142" s="384"/>
      <c r="BL142" s="384">
        <f t="shared" si="67"/>
        <v>0</v>
      </c>
      <c r="BM142" s="384"/>
      <c r="BN142" s="384"/>
      <c r="BO142" s="384"/>
      <c r="BP142" s="384"/>
      <c r="BQ142" s="384">
        <f t="shared" si="123"/>
        <v>0</v>
      </c>
      <c r="BR142" s="384"/>
      <c r="BS142" s="384"/>
      <c r="BT142" s="384"/>
      <c r="BU142" s="386"/>
      <c r="BV142" s="384">
        <f t="shared" si="124"/>
        <v>0</v>
      </c>
    </row>
    <row r="143" spans="1:74" ht="43.15" customHeight="1" x14ac:dyDescent="0.25">
      <c r="A143" s="382" t="s">
        <v>93</v>
      </c>
      <c r="B143" s="383" t="s">
        <v>15</v>
      </c>
      <c r="C143" s="374">
        <v>226</v>
      </c>
      <c r="D143" s="387" t="s">
        <v>575</v>
      </c>
      <c r="E143" s="384">
        <f t="shared" si="126"/>
        <v>1117400.6100000001</v>
      </c>
      <c r="F143" s="384"/>
      <c r="G143" s="384"/>
      <c r="H143" s="384"/>
      <c r="I143" s="384">
        <v>1117400.6100000001</v>
      </c>
      <c r="J143" s="384">
        <f t="shared" si="117"/>
        <v>0</v>
      </c>
      <c r="K143" s="384"/>
      <c r="L143" s="384"/>
      <c r="M143" s="384"/>
      <c r="N143" s="384"/>
      <c r="O143" s="384">
        <f t="shared" si="78"/>
        <v>726310.40000000002</v>
      </c>
      <c r="P143" s="384"/>
      <c r="Q143" s="384"/>
      <c r="R143" s="384"/>
      <c r="S143" s="384">
        <v>726310.40000000002</v>
      </c>
      <c r="T143" s="384">
        <f t="shared" si="118"/>
        <v>391090.21</v>
      </c>
      <c r="U143" s="384"/>
      <c r="V143" s="384"/>
      <c r="W143" s="384"/>
      <c r="X143" s="384">
        <v>391090.21</v>
      </c>
      <c r="Y143" s="384">
        <f t="shared" si="100"/>
        <v>0</v>
      </c>
      <c r="Z143" s="384"/>
      <c r="AA143" s="384"/>
      <c r="AB143" s="384"/>
      <c r="AC143" s="386"/>
      <c r="AD143" s="384">
        <f t="shared" si="119"/>
        <v>0</v>
      </c>
      <c r="AE143" s="384"/>
      <c r="AF143" s="384"/>
      <c r="AG143" s="384"/>
      <c r="AH143" s="386"/>
      <c r="AI143" s="384">
        <f t="shared" si="120"/>
        <v>0</v>
      </c>
      <c r="AJ143" s="384"/>
      <c r="AK143" s="384"/>
      <c r="AL143" s="384"/>
      <c r="AM143" s="386"/>
      <c r="AN143" s="384">
        <v>0</v>
      </c>
      <c r="AO143" s="384"/>
      <c r="AP143" s="384"/>
      <c r="AQ143" s="384"/>
      <c r="AR143" s="386"/>
      <c r="AS143" s="384">
        <v>0</v>
      </c>
      <c r="AT143" s="384"/>
      <c r="AU143" s="384"/>
      <c r="AV143" s="384"/>
      <c r="AW143" s="386"/>
      <c r="AX143" s="384">
        <f t="shared" si="121"/>
        <v>0</v>
      </c>
      <c r="AY143" s="384"/>
      <c r="AZ143" s="384"/>
      <c r="BA143" s="384"/>
      <c r="BB143" s="386"/>
      <c r="BC143" s="384">
        <f t="shared" si="125"/>
        <v>5.8207660913467407E-11</v>
      </c>
      <c r="BD143" s="384"/>
      <c r="BE143" s="384"/>
      <c r="BF143" s="384"/>
      <c r="BG143" s="384">
        <f t="shared" si="122"/>
        <v>0</v>
      </c>
      <c r="BH143" s="384"/>
      <c r="BI143" s="384"/>
      <c r="BJ143" s="384"/>
      <c r="BK143" s="384"/>
      <c r="BL143" s="384">
        <f t="shared" si="67"/>
        <v>0</v>
      </c>
      <c r="BM143" s="384"/>
      <c r="BN143" s="384"/>
      <c r="BO143" s="384"/>
      <c r="BP143" s="384"/>
      <c r="BQ143" s="384">
        <f t="shared" si="123"/>
        <v>0</v>
      </c>
      <c r="BR143" s="384"/>
      <c r="BS143" s="384"/>
      <c r="BT143" s="384"/>
      <c r="BU143" s="386"/>
      <c r="BV143" s="384">
        <f t="shared" si="124"/>
        <v>5.8207660913467407E-11</v>
      </c>
    </row>
    <row r="144" spans="1:74" ht="41.45" customHeight="1" x14ac:dyDescent="0.25">
      <c r="A144" s="382" t="s">
        <v>214</v>
      </c>
      <c r="B144" s="383" t="s">
        <v>14</v>
      </c>
      <c r="C144" s="374">
        <v>226</v>
      </c>
      <c r="D144" s="387" t="s">
        <v>602</v>
      </c>
      <c r="E144" s="384">
        <f t="shared" si="126"/>
        <v>1364279.55</v>
      </c>
      <c r="F144" s="384"/>
      <c r="G144" s="384"/>
      <c r="H144" s="384"/>
      <c r="I144" s="384">
        <v>1364279.55</v>
      </c>
      <c r="J144" s="384">
        <f t="shared" si="117"/>
        <v>0</v>
      </c>
      <c r="K144" s="384"/>
      <c r="L144" s="384"/>
      <c r="M144" s="384"/>
      <c r="N144" s="384"/>
      <c r="O144" s="384">
        <f t="shared" si="78"/>
        <v>946847.52</v>
      </c>
      <c r="P144" s="384"/>
      <c r="Q144" s="384"/>
      <c r="R144" s="384"/>
      <c r="S144" s="384">
        <v>946847.52</v>
      </c>
      <c r="T144" s="384">
        <f t="shared" si="118"/>
        <v>0</v>
      </c>
      <c r="U144" s="384"/>
      <c r="V144" s="384"/>
      <c r="W144" s="384"/>
      <c r="X144" s="384"/>
      <c r="Y144" s="384">
        <f t="shared" si="100"/>
        <v>417432.03</v>
      </c>
      <c r="Z144" s="384"/>
      <c r="AA144" s="384"/>
      <c r="AB144" s="384"/>
      <c r="AC144" s="386">
        <v>417432.03</v>
      </c>
      <c r="AD144" s="384">
        <f t="shared" si="119"/>
        <v>0</v>
      </c>
      <c r="AE144" s="384"/>
      <c r="AF144" s="384"/>
      <c r="AG144" s="384"/>
      <c r="AH144" s="386"/>
      <c r="AI144" s="384">
        <f t="shared" si="120"/>
        <v>0</v>
      </c>
      <c r="AJ144" s="384"/>
      <c r="AK144" s="384"/>
      <c r="AL144" s="384"/>
      <c r="AM144" s="386"/>
      <c r="AN144" s="384">
        <v>0</v>
      </c>
      <c r="AO144" s="384"/>
      <c r="AP144" s="384"/>
      <c r="AQ144" s="384"/>
      <c r="AR144" s="386"/>
      <c r="AS144" s="384">
        <v>0</v>
      </c>
      <c r="AT144" s="384"/>
      <c r="AU144" s="384"/>
      <c r="AV144" s="384"/>
      <c r="AW144" s="386"/>
      <c r="AX144" s="384">
        <f t="shared" si="121"/>
        <v>0</v>
      </c>
      <c r="AY144" s="384"/>
      <c r="AZ144" s="384"/>
      <c r="BA144" s="384"/>
      <c r="BB144" s="386"/>
      <c r="BC144" s="384">
        <f t="shared" si="125"/>
        <v>0</v>
      </c>
      <c r="BD144" s="384"/>
      <c r="BE144" s="384"/>
      <c r="BF144" s="384"/>
      <c r="BG144" s="384">
        <f t="shared" si="122"/>
        <v>0</v>
      </c>
      <c r="BH144" s="384"/>
      <c r="BI144" s="384"/>
      <c r="BJ144" s="384"/>
      <c r="BK144" s="384"/>
      <c r="BL144" s="384">
        <f t="shared" si="67"/>
        <v>0</v>
      </c>
      <c r="BM144" s="384"/>
      <c r="BN144" s="384"/>
      <c r="BO144" s="384"/>
      <c r="BP144" s="384"/>
      <c r="BQ144" s="384">
        <f t="shared" si="123"/>
        <v>0</v>
      </c>
      <c r="BR144" s="384"/>
      <c r="BS144" s="384"/>
      <c r="BT144" s="384"/>
      <c r="BU144" s="386"/>
      <c r="BV144" s="384">
        <f t="shared" si="124"/>
        <v>0</v>
      </c>
    </row>
    <row r="145" spans="1:74" ht="40.9" customHeight="1" x14ac:dyDescent="0.25">
      <c r="A145" s="382" t="s">
        <v>252</v>
      </c>
      <c r="B145" s="383" t="s">
        <v>425</v>
      </c>
      <c r="C145" s="374">
        <v>226</v>
      </c>
      <c r="D145" s="387" t="s">
        <v>576</v>
      </c>
      <c r="E145" s="384">
        <f t="shared" si="126"/>
        <v>36289.06</v>
      </c>
      <c r="F145" s="384"/>
      <c r="G145" s="384"/>
      <c r="H145" s="384"/>
      <c r="I145" s="384">
        <v>36289.06</v>
      </c>
      <c r="J145" s="384">
        <f t="shared" si="117"/>
        <v>0</v>
      </c>
      <c r="K145" s="384"/>
      <c r="L145" s="384"/>
      <c r="M145" s="384"/>
      <c r="N145" s="384"/>
      <c r="O145" s="384">
        <f t="shared" si="78"/>
        <v>0</v>
      </c>
      <c r="P145" s="384"/>
      <c r="Q145" s="384"/>
      <c r="R145" s="384"/>
      <c r="S145" s="384"/>
      <c r="T145" s="384">
        <f t="shared" si="118"/>
        <v>0</v>
      </c>
      <c r="U145" s="384"/>
      <c r="V145" s="384"/>
      <c r="W145" s="384"/>
      <c r="X145" s="384"/>
      <c r="Y145" s="384">
        <f t="shared" si="100"/>
        <v>36289.06</v>
      </c>
      <c r="Z145" s="384"/>
      <c r="AA145" s="384"/>
      <c r="AB145" s="384"/>
      <c r="AC145" s="386">
        <v>36289.06</v>
      </c>
      <c r="AD145" s="384">
        <f t="shared" si="119"/>
        <v>0</v>
      </c>
      <c r="AE145" s="384"/>
      <c r="AF145" s="384"/>
      <c r="AG145" s="384"/>
      <c r="AH145" s="386"/>
      <c r="AI145" s="384">
        <f t="shared" si="120"/>
        <v>0</v>
      </c>
      <c r="AJ145" s="384"/>
      <c r="AK145" s="384"/>
      <c r="AL145" s="384"/>
      <c r="AM145" s="386"/>
      <c r="AN145" s="384">
        <v>0</v>
      </c>
      <c r="AO145" s="384"/>
      <c r="AP145" s="384"/>
      <c r="AQ145" s="384"/>
      <c r="AR145" s="386"/>
      <c r="AS145" s="384">
        <v>0</v>
      </c>
      <c r="AT145" s="384"/>
      <c r="AU145" s="384"/>
      <c r="AV145" s="384"/>
      <c r="AW145" s="386"/>
      <c r="AX145" s="384">
        <f t="shared" si="121"/>
        <v>0</v>
      </c>
      <c r="AY145" s="384"/>
      <c r="AZ145" s="384"/>
      <c r="BA145" s="384"/>
      <c r="BB145" s="386"/>
      <c r="BC145" s="384">
        <f t="shared" si="125"/>
        <v>0</v>
      </c>
      <c r="BD145" s="384"/>
      <c r="BE145" s="384"/>
      <c r="BF145" s="384"/>
      <c r="BG145" s="384">
        <f t="shared" si="122"/>
        <v>0</v>
      </c>
      <c r="BH145" s="384"/>
      <c r="BI145" s="384"/>
      <c r="BJ145" s="384"/>
      <c r="BK145" s="384"/>
      <c r="BL145" s="384">
        <f t="shared" si="67"/>
        <v>0</v>
      </c>
      <c r="BM145" s="384"/>
      <c r="BN145" s="384"/>
      <c r="BO145" s="384"/>
      <c r="BP145" s="384"/>
      <c r="BQ145" s="384">
        <f t="shared" si="123"/>
        <v>0</v>
      </c>
      <c r="BR145" s="384"/>
      <c r="BS145" s="384"/>
      <c r="BT145" s="384"/>
      <c r="BU145" s="386"/>
      <c r="BV145" s="384">
        <f t="shared" si="124"/>
        <v>0</v>
      </c>
    </row>
    <row r="146" spans="1:74" ht="55.15" customHeight="1" x14ac:dyDescent="0.25">
      <c r="A146" s="382" t="s">
        <v>381</v>
      </c>
      <c r="B146" s="383" t="s">
        <v>208</v>
      </c>
      <c r="C146" s="374">
        <v>226</v>
      </c>
      <c r="D146" s="387" t="s">
        <v>577</v>
      </c>
      <c r="E146" s="384">
        <f t="shared" si="126"/>
        <v>58020.91</v>
      </c>
      <c r="F146" s="384"/>
      <c r="G146" s="384"/>
      <c r="H146" s="384"/>
      <c r="I146" s="384">
        <v>58020.91</v>
      </c>
      <c r="J146" s="384">
        <f t="shared" si="117"/>
        <v>0</v>
      </c>
      <c r="K146" s="384"/>
      <c r="L146" s="384"/>
      <c r="M146" s="384"/>
      <c r="N146" s="384"/>
      <c r="O146" s="384">
        <f t="shared" si="78"/>
        <v>0</v>
      </c>
      <c r="P146" s="384"/>
      <c r="Q146" s="384"/>
      <c r="R146" s="384"/>
      <c r="S146" s="384"/>
      <c r="T146" s="384">
        <f t="shared" si="118"/>
        <v>58020.91</v>
      </c>
      <c r="U146" s="384"/>
      <c r="V146" s="384"/>
      <c r="W146" s="384"/>
      <c r="X146" s="384">
        <v>58020.91</v>
      </c>
      <c r="Y146" s="384">
        <f t="shared" si="100"/>
        <v>0</v>
      </c>
      <c r="Z146" s="384"/>
      <c r="AA146" s="384"/>
      <c r="AB146" s="384"/>
      <c r="AC146" s="386"/>
      <c r="AD146" s="384">
        <f t="shared" si="119"/>
        <v>0</v>
      </c>
      <c r="AE146" s="384"/>
      <c r="AF146" s="384"/>
      <c r="AG146" s="384"/>
      <c r="AH146" s="386"/>
      <c r="AI146" s="384">
        <f t="shared" si="120"/>
        <v>0</v>
      </c>
      <c r="AJ146" s="384"/>
      <c r="AK146" s="384"/>
      <c r="AL146" s="384"/>
      <c r="AM146" s="386"/>
      <c r="AN146" s="384">
        <v>0</v>
      </c>
      <c r="AO146" s="384"/>
      <c r="AP146" s="384"/>
      <c r="AQ146" s="384"/>
      <c r="AR146" s="386"/>
      <c r="AS146" s="384">
        <v>0</v>
      </c>
      <c r="AT146" s="384"/>
      <c r="AU146" s="384"/>
      <c r="AV146" s="384"/>
      <c r="AW146" s="386"/>
      <c r="AX146" s="384">
        <f t="shared" si="121"/>
        <v>0</v>
      </c>
      <c r="AY146" s="384"/>
      <c r="AZ146" s="384"/>
      <c r="BA146" s="384"/>
      <c r="BB146" s="386"/>
      <c r="BC146" s="384">
        <f t="shared" si="125"/>
        <v>0</v>
      </c>
      <c r="BD146" s="384"/>
      <c r="BE146" s="384"/>
      <c r="BF146" s="384"/>
      <c r="BG146" s="384">
        <f t="shared" si="122"/>
        <v>0</v>
      </c>
      <c r="BH146" s="384"/>
      <c r="BI146" s="384"/>
      <c r="BJ146" s="384"/>
      <c r="BK146" s="384"/>
      <c r="BL146" s="384">
        <f t="shared" si="67"/>
        <v>0</v>
      </c>
      <c r="BM146" s="384"/>
      <c r="BN146" s="384"/>
      <c r="BO146" s="384"/>
      <c r="BP146" s="384"/>
      <c r="BQ146" s="384">
        <f t="shared" si="123"/>
        <v>0</v>
      </c>
      <c r="BR146" s="384"/>
      <c r="BS146" s="384"/>
      <c r="BT146" s="384"/>
      <c r="BU146" s="386"/>
      <c r="BV146" s="384">
        <f t="shared" si="124"/>
        <v>0</v>
      </c>
    </row>
    <row r="147" spans="1:74" ht="37.15" customHeight="1" x14ac:dyDescent="0.25">
      <c r="A147" s="382" t="s">
        <v>424</v>
      </c>
      <c r="B147" s="388" t="s">
        <v>248</v>
      </c>
      <c r="C147" s="377">
        <v>226</v>
      </c>
      <c r="D147" s="390" t="s">
        <v>509</v>
      </c>
      <c r="E147" s="384">
        <f t="shared" si="126"/>
        <v>1239</v>
      </c>
      <c r="F147" s="384"/>
      <c r="G147" s="384"/>
      <c r="H147" s="384"/>
      <c r="I147" s="384">
        <v>1239</v>
      </c>
      <c r="J147" s="384">
        <f t="shared" si="117"/>
        <v>0</v>
      </c>
      <c r="K147" s="384"/>
      <c r="L147" s="384"/>
      <c r="M147" s="384"/>
      <c r="N147" s="384"/>
      <c r="O147" s="384">
        <f t="shared" si="78"/>
        <v>0</v>
      </c>
      <c r="P147" s="384"/>
      <c r="Q147" s="384"/>
      <c r="R147" s="384"/>
      <c r="S147" s="384"/>
      <c r="T147" s="384">
        <f t="shared" si="118"/>
        <v>1239</v>
      </c>
      <c r="U147" s="384"/>
      <c r="V147" s="384"/>
      <c r="W147" s="384"/>
      <c r="X147" s="384">
        <v>1239</v>
      </c>
      <c r="Y147" s="384">
        <f t="shared" si="100"/>
        <v>0</v>
      </c>
      <c r="Z147" s="384"/>
      <c r="AA147" s="384"/>
      <c r="AB147" s="384"/>
      <c r="AC147" s="386"/>
      <c r="AD147" s="384">
        <f t="shared" si="119"/>
        <v>0</v>
      </c>
      <c r="AE147" s="384"/>
      <c r="AF147" s="384"/>
      <c r="AG147" s="384"/>
      <c r="AH147" s="386"/>
      <c r="AI147" s="384">
        <f t="shared" si="120"/>
        <v>0</v>
      </c>
      <c r="AJ147" s="384"/>
      <c r="AK147" s="384"/>
      <c r="AL147" s="384"/>
      <c r="AM147" s="386"/>
      <c r="AN147" s="384">
        <v>0</v>
      </c>
      <c r="AO147" s="384"/>
      <c r="AP147" s="384"/>
      <c r="AQ147" s="384"/>
      <c r="AR147" s="386"/>
      <c r="AS147" s="384">
        <v>0</v>
      </c>
      <c r="AT147" s="384"/>
      <c r="AU147" s="384"/>
      <c r="AV147" s="384"/>
      <c r="AW147" s="386"/>
      <c r="AX147" s="384">
        <f t="shared" si="121"/>
        <v>0</v>
      </c>
      <c r="AY147" s="384"/>
      <c r="AZ147" s="384"/>
      <c r="BA147" s="384"/>
      <c r="BB147" s="386"/>
      <c r="BC147" s="384">
        <f t="shared" si="125"/>
        <v>0</v>
      </c>
      <c r="BD147" s="384"/>
      <c r="BE147" s="384"/>
      <c r="BF147" s="384"/>
      <c r="BG147" s="384">
        <f t="shared" si="122"/>
        <v>0</v>
      </c>
      <c r="BH147" s="384"/>
      <c r="BI147" s="384"/>
      <c r="BJ147" s="384"/>
      <c r="BK147" s="384"/>
      <c r="BL147" s="384">
        <f t="shared" si="67"/>
        <v>0</v>
      </c>
      <c r="BM147" s="384"/>
      <c r="BN147" s="384"/>
      <c r="BO147" s="384"/>
      <c r="BP147" s="384"/>
      <c r="BQ147" s="384">
        <f t="shared" si="123"/>
        <v>0</v>
      </c>
      <c r="BR147" s="384"/>
      <c r="BS147" s="384"/>
      <c r="BT147" s="384"/>
      <c r="BU147" s="386"/>
      <c r="BV147" s="384">
        <f t="shared" si="124"/>
        <v>0</v>
      </c>
    </row>
    <row r="148" spans="1:74" ht="88.15" customHeight="1" x14ac:dyDescent="0.25">
      <c r="A148" s="382" t="s">
        <v>467</v>
      </c>
      <c r="B148" s="388" t="s">
        <v>470</v>
      </c>
      <c r="C148" s="377">
        <v>226</v>
      </c>
      <c r="D148" s="390" t="s">
        <v>684</v>
      </c>
      <c r="E148" s="384">
        <f>F148+G148+H148+I148</f>
        <v>89964</v>
      </c>
      <c r="F148" s="384"/>
      <c r="G148" s="384"/>
      <c r="H148" s="384"/>
      <c r="I148" s="384">
        <v>89964</v>
      </c>
      <c r="J148" s="384">
        <f t="shared" si="117"/>
        <v>0</v>
      </c>
      <c r="K148" s="384"/>
      <c r="L148" s="384"/>
      <c r="M148" s="384"/>
      <c r="N148" s="384"/>
      <c r="O148" s="384">
        <f t="shared" si="78"/>
        <v>0</v>
      </c>
      <c r="P148" s="384"/>
      <c r="Q148" s="384"/>
      <c r="R148" s="384"/>
      <c r="S148" s="384"/>
      <c r="T148" s="384">
        <f t="shared" si="118"/>
        <v>0</v>
      </c>
      <c r="U148" s="384"/>
      <c r="V148" s="384"/>
      <c r="W148" s="384"/>
      <c r="X148" s="384"/>
      <c r="Y148" s="384">
        <f t="shared" si="100"/>
        <v>0</v>
      </c>
      <c r="Z148" s="384"/>
      <c r="AA148" s="384"/>
      <c r="AB148" s="384"/>
      <c r="AC148" s="386"/>
      <c r="AD148" s="384">
        <f t="shared" ref="AD148" si="127">SUM(AE148:AH148)</f>
        <v>0</v>
      </c>
      <c r="AE148" s="384"/>
      <c r="AF148" s="384"/>
      <c r="AG148" s="384"/>
      <c r="AH148" s="386"/>
      <c r="AI148" s="384">
        <f t="shared" si="120"/>
        <v>89964</v>
      </c>
      <c r="AJ148" s="384"/>
      <c r="AK148" s="384"/>
      <c r="AL148" s="384"/>
      <c r="AM148" s="386">
        <v>89964</v>
      </c>
      <c r="AN148" s="384">
        <v>0</v>
      </c>
      <c r="AO148" s="384"/>
      <c r="AP148" s="384"/>
      <c r="AQ148" s="384"/>
      <c r="AR148" s="386"/>
      <c r="AS148" s="384">
        <v>0</v>
      </c>
      <c r="AT148" s="384"/>
      <c r="AU148" s="384"/>
      <c r="AV148" s="384"/>
      <c r="AW148" s="386"/>
      <c r="AX148" s="384">
        <f t="shared" si="121"/>
        <v>0</v>
      </c>
      <c r="AY148" s="384"/>
      <c r="AZ148" s="384"/>
      <c r="BA148" s="384"/>
      <c r="BB148" s="386"/>
      <c r="BC148" s="384">
        <f t="shared" si="125"/>
        <v>0</v>
      </c>
      <c r="BD148" s="384"/>
      <c r="BE148" s="384"/>
      <c r="BF148" s="384"/>
      <c r="BG148" s="384">
        <f t="shared" si="122"/>
        <v>0</v>
      </c>
      <c r="BH148" s="384"/>
      <c r="BI148" s="384"/>
      <c r="BJ148" s="384"/>
      <c r="BK148" s="384"/>
      <c r="BL148" s="384">
        <f t="shared" si="67"/>
        <v>0</v>
      </c>
      <c r="BM148" s="384"/>
      <c r="BN148" s="384"/>
      <c r="BO148" s="384"/>
      <c r="BP148" s="384"/>
      <c r="BQ148" s="384">
        <f t="shared" si="123"/>
        <v>0</v>
      </c>
      <c r="BR148" s="384"/>
      <c r="BS148" s="384"/>
      <c r="BT148" s="384"/>
      <c r="BU148" s="386"/>
      <c r="BV148" s="384">
        <f t="shared" si="124"/>
        <v>0</v>
      </c>
    </row>
    <row r="149" spans="1:74" ht="45.6" customHeight="1" x14ac:dyDescent="0.25">
      <c r="A149" s="382" t="s">
        <v>473</v>
      </c>
      <c r="B149" s="388" t="s">
        <v>479</v>
      </c>
      <c r="C149" s="377">
        <v>226</v>
      </c>
      <c r="D149" s="390" t="s">
        <v>578</v>
      </c>
      <c r="E149" s="384">
        <v>81000</v>
      </c>
      <c r="F149" s="384"/>
      <c r="G149" s="384"/>
      <c r="H149" s="384"/>
      <c r="I149" s="384">
        <v>81000</v>
      </c>
      <c r="J149" s="384">
        <f>K149+L149+M149+N149</f>
        <v>0</v>
      </c>
      <c r="K149" s="384"/>
      <c r="L149" s="384"/>
      <c r="M149" s="384"/>
      <c r="N149" s="384"/>
      <c r="O149" s="384">
        <f>P149+Q149+R149+S149</f>
        <v>0</v>
      </c>
      <c r="P149" s="384"/>
      <c r="Q149" s="384"/>
      <c r="R149" s="384"/>
      <c r="S149" s="384"/>
      <c r="T149" s="384">
        <f>U149+V149+W149+X149</f>
        <v>0</v>
      </c>
      <c r="U149" s="384"/>
      <c r="V149" s="384"/>
      <c r="W149" s="384"/>
      <c r="X149" s="384"/>
      <c r="Y149" s="384">
        <f>Z149+AA149+AB149+AC149</f>
        <v>0</v>
      </c>
      <c r="Z149" s="384"/>
      <c r="AA149" s="384"/>
      <c r="AB149" s="384"/>
      <c r="AC149" s="386"/>
      <c r="AD149" s="384">
        <f t="shared" ref="AD149" si="128">SUM(AE149:AH149)</f>
        <v>0</v>
      </c>
      <c r="AE149" s="384"/>
      <c r="AF149" s="384"/>
      <c r="AG149" s="384"/>
      <c r="AH149" s="386">
        <v>0</v>
      </c>
      <c r="AI149" s="384">
        <f>SUM(AJ149:AM149)</f>
        <v>81000</v>
      </c>
      <c r="AJ149" s="384"/>
      <c r="AK149" s="384"/>
      <c r="AL149" s="384"/>
      <c r="AM149" s="386">
        <v>81000</v>
      </c>
      <c r="AN149" s="384">
        <v>0</v>
      </c>
      <c r="AO149" s="384"/>
      <c r="AP149" s="384"/>
      <c r="AQ149" s="384"/>
      <c r="AR149" s="386"/>
      <c r="AS149" s="384">
        <v>0</v>
      </c>
      <c r="AT149" s="384"/>
      <c r="AU149" s="384"/>
      <c r="AV149" s="384"/>
      <c r="AW149" s="386"/>
      <c r="AX149" s="384">
        <f>SUM(AY149:BB149)</f>
        <v>0</v>
      </c>
      <c r="AY149" s="384"/>
      <c r="AZ149" s="384"/>
      <c r="BA149" s="384"/>
      <c r="BB149" s="386"/>
      <c r="BC149" s="384">
        <f t="shared" si="125"/>
        <v>0</v>
      </c>
      <c r="BD149" s="384"/>
      <c r="BE149" s="384"/>
      <c r="BF149" s="384"/>
      <c r="BG149" s="384">
        <f t="shared" ref="BG149:BG150" si="129">SUM(BH149:BK149)</f>
        <v>0</v>
      </c>
      <c r="BH149" s="384"/>
      <c r="BI149" s="384"/>
      <c r="BJ149" s="384"/>
      <c r="BK149" s="384"/>
      <c r="BL149" s="384">
        <f>BM149+BN149+BO149+BP149</f>
        <v>0</v>
      </c>
      <c r="BM149" s="384"/>
      <c r="BN149" s="384"/>
      <c r="BO149" s="384"/>
      <c r="BP149" s="384"/>
      <c r="BQ149" s="384">
        <f>SUM(BR149:BU149)</f>
        <v>0</v>
      </c>
      <c r="BR149" s="384"/>
      <c r="BS149" s="384"/>
      <c r="BT149" s="384"/>
      <c r="BU149" s="386"/>
      <c r="BV149" s="384">
        <f t="shared" si="124"/>
        <v>0</v>
      </c>
    </row>
    <row r="150" spans="1:74" ht="45.6" customHeight="1" x14ac:dyDescent="0.25">
      <c r="A150" s="382" t="s">
        <v>477</v>
      </c>
      <c r="B150" s="388" t="s">
        <v>484</v>
      </c>
      <c r="C150" s="377">
        <v>226</v>
      </c>
      <c r="D150" s="390" t="s">
        <v>579</v>
      </c>
      <c r="E150" s="384">
        <f>F150+G150+H150+I150</f>
        <v>13435.01</v>
      </c>
      <c r="F150" s="384"/>
      <c r="G150" s="384"/>
      <c r="H150" s="384"/>
      <c r="I150" s="384">
        <v>13435.01</v>
      </c>
      <c r="J150" s="384">
        <f>K150+L150+M150+N150</f>
        <v>0</v>
      </c>
      <c r="K150" s="384"/>
      <c r="L150" s="384"/>
      <c r="M150" s="384"/>
      <c r="N150" s="384"/>
      <c r="O150" s="384">
        <f t="shared" ref="O150" si="130">P150+Q150+R150+S150</f>
        <v>0</v>
      </c>
      <c r="P150" s="384"/>
      <c r="Q150" s="384"/>
      <c r="R150" s="384"/>
      <c r="S150" s="384"/>
      <c r="T150" s="384">
        <f>U150+V150+W150+X150</f>
        <v>0</v>
      </c>
      <c r="U150" s="384"/>
      <c r="V150" s="384"/>
      <c r="W150" s="384"/>
      <c r="X150" s="384"/>
      <c r="Y150" s="384">
        <f t="shared" ref="Y150" si="131">Z150+AA150+AB150+AC150</f>
        <v>0</v>
      </c>
      <c r="Z150" s="384"/>
      <c r="AA150" s="384"/>
      <c r="AB150" s="384"/>
      <c r="AC150" s="386"/>
      <c r="AD150" s="384">
        <f t="shared" ref="AD150" si="132">SUM(AE150:AH150)</f>
        <v>0</v>
      </c>
      <c r="AE150" s="384"/>
      <c r="AF150" s="384"/>
      <c r="AG150" s="384"/>
      <c r="AH150" s="386"/>
      <c r="AI150" s="384">
        <f t="shared" ref="AI150" si="133">SUM(AJ150:AM150)</f>
        <v>13435.01</v>
      </c>
      <c r="AJ150" s="384"/>
      <c r="AK150" s="384"/>
      <c r="AL150" s="384"/>
      <c r="AM150" s="386">
        <v>13435.01</v>
      </c>
      <c r="AN150" s="384">
        <v>0</v>
      </c>
      <c r="AO150" s="384"/>
      <c r="AP150" s="384"/>
      <c r="AQ150" s="384"/>
      <c r="AR150" s="386"/>
      <c r="AS150" s="384">
        <v>0</v>
      </c>
      <c r="AT150" s="384"/>
      <c r="AU150" s="384"/>
      <c r="AV150" s="384"/>
      <c r="AW150" s="386"/>
      <c r="AX150" s="384">
        <f t="shared" ref="AX150" si="134">SUM(AY150:BB150)</f>
        <v>0</v>
      </c>
      <c r="AY150" s="384"/>
      <c r="AZ150" s="384"/>
      <c r="BA150" s="384"/>
      <c r="BB150" s="386"/>
      <c r="BC150" s="384">
        <f t="shared" si="125"/>
        <v>0</v>
      </c>
      <c r="BD150" s="384"/>
      <c r="BE150" s="384"/>
      <c r="BF150" s="384"/>
      <c r="BG150" s="384">
        <f t="shared" si="129"/>
        <v>0</v>
      </c>
      <c r="BH150" s="384"/>
      <c r="BI150" s="384"/>
      <c r="BJ150" s="384"/>
      <c r="BK150" s="384"/>
      <c r="BL150" s="384">
        <f t="shared" ref="BL150" si="135">BM150+BN150+BO150+BP150</f>
        <v>0</v>
      </c>
      <c r="BM150" s="384"/>
      <c r="BN150" s="384"/>
      <c r="BO150" s="384"/>
      <c r="BP150" s="384"/>
      <c r="BQ150" s="384">
        <f t="shared" ref="BQ150" si="136">SUM(BR150:BU150)</f>
        <v>0</v>
      </c>
      <c r="BR150" s="384"/>
      <c r="BS150" s="384"/>
      <c r="BT150" s="384"/>
      <c r="BU150" s="386"/>
      <c r="BV150" s="384">
        <f t="shared" si="124"/>
        <v>0</v>
      </c>
    </row>
    <row r="151" spans="1:74" ht="43.15" customHeight="1" x14ac:dyDescent="0.25">
      <c r="A151" s="382" t="s">
        <v>481</v>
      </c>
      <c r="B151" s="388" t="s">
        <v>451</v>
      </c>
      <c r="C151" s="377">
        <v>290</v>
      </c>
      <c r="D151" s="390"/>
      <c r="E151" s="384">
        <f>F151+G151+H151+I151</f>
        <v>70000</v>
      </c>
      <c r="F151" s="384"/>
      <c r="G151" s="384"/>
      <c r="H151" s="384"/>
      <c r="I151" s="384">
        <v>70000</v>
      </c>
      <c r="J151" s="384">
        <f>K151+L151+M151+N151</f>
        <v>0</v>
      </c>
      <c r="K151" s="384"/>
      <c r="L151" s="384"/>
      <c r="M151" s="384"/>
      <c r="N151" s="384"/>
      <c r="O151" s="384">
        <f>P151+Q151+R151+S151</f>
        <v>0</v>
      </c>
      <c r="P151" s="384"/>
      <c r="Q151" s="384"/>
      <c r="R151" s="384"/>
      <c r="S151" s="384"/>
      <c r="T151" s="384">
        <f>U151+V151+W151+X151</f>
        <v>0</v>
      </c>
      <c r="U151" s="384"/>
      <c r="V151" s="384"/>
      <c r="W151" s="384"/>
      <c r="X151" s="384"/>
      <c r="Y151" s="384">
        <f>Z151+AA151+AB151+AC151</f>
        <v>0</v>
      </c>
      <c r="Z151" s="384"/>
      <c r="AA151" s="384"/>
      <c r="AB151" s="384"/>
      <c r="AC151" s="386"/>
      <c r="AD151" s="384">
        <f>SUM(AE151:AH151)</f>
        <v>70000</v>
      </c>
      <c r="AE151" s="384"/>
      <c r="AF151" s="384"/>
      <c r="AG151" s="384"/>
      <c r="AH151" s="386">
        <v>70000</v>
      </c>
      <c r="AI151" s="384">
        <f>SUM(AJ151:AM151)</f>
        <v>0</v>
      </c>
      <c r="AJ151" s="384"/>
      <c r="AK151" s="384"/>
      <c r="AL151" s="384"/>
      <c r="AM151" s="386"/>
      <c r="AN151" s="384">
        <v>0</v>
      </c>
      <c r="AO151" s="384"/>
      <c r="AP151" s="384"/>
      <c r="AQ151" s="384"/>
      <c r="AR151" s="386"/>
      <c r="AS151" s="384">
        <v>0</v>
      </c>
      <c r="AT151" s="384"/>
      <c r="AU151" s="384"/>
      <c r="AV151" s="384"/>
      <c r="AW151" s="386"/>
      <c r="AX151" s="384">
        <f>SUM(AY151:BB151)</f>
        <v>0</v>
      </c>
      <c r="AY151" s="384"/>
      <c r="AZ151" s="384"/>
      <c r="BA151" s="384"/>
      <c r="BB151" s="386"/>
      <c r="BC151" s="384">
        <f t="shared" si="125"/>
        <v>0</v>
      </c>
      <c r="BD151" s="384"/>
      <c r="BE151" s="384"/>
      <c r="BF151" s="384"/>
      <c r="BG151" s="384">
        <f>SUM(BH151:BK151)</f>
        <v>0</v>
      </c>
      <c r="BH151" s="384"/>
      <c r="BI151" s="384"/>
      <c r="BJ151" s="384"/>
      <c r="BK151" s="384"/>
      <c r="BL151" s="384">
        <f>BM151+BN151+BO151+BP151</f>
        <v>0</v>
      </c>
      <c r="BM151" s="384"/>
      <c r="BN151" s="384"/>
      <c r="BO151" s="384"/>
      <c r="BP151" s="384"/>
      <c r="BQ151" s="384">
        <f>SUM(BR151:BU151)</f>
        <v>0</v>
      </c>
      <c r="BR151" s="384"/>
      <c r="BS151" s="384"/>
      <c r="BT151" s="384"/>
      <c r="BU151" s="386"/>
      <c r="BV151" s="384">
        <f t="shared" si="124"/>
        <v>0</v>
      </c>
    </row>
    <row r="152" spans="1:74" ht="277.5" customHeight="1" x14ac:dyDescent="0.25">
      <c r="A152" s="382" t="s">
        <v>673</v>
      </c>
      <c r="B152" s="388" t="s">
        <v>488</v>
      </c>
      <c r="C152" s="377">
        <v>226</v>
      </c>
      <c r="D152" s="390" t="s">
        <v>728</v>
      </c>
      <c r="E152" s="384">
        <f t="shared" ref="E152:E156" si="137">F152+G152+H152+I152</f>
        <v>954206.11</v>
      </c>
      <c r="F152" s="384"/>
      <c r="G152" s="384"/>
      <c r="H152" s="384"/>
      <c r="I152" s="384">
        <v>954206.11</v>
      </c>
      <c r="J152" s="384">
        <f t="shared" ref="J152:J153" si="138">K152+L152+M152+N152</f>
        <v>0</v>
      </c>
      <c r="K152" s="384"/>
      <c r="L152" s="384"/>
      <c r="M152" s="384"/>
      <c r="N152" s="384"/>
      <c r="O152" s="384">
        <f t="shared" ref="O152:O153" si="139">P152+Q152+R152+S152</f>
        <v>0</v>
      </c>
      <c r="P152" s="384"/>
      <c r="Q152" s="384"/>
      <c r="R152" s="384"/>
      <c r="S152" s="384"/>
      <c r="T152" s="384">
        <f t="shared" ref="T152:T153" si="140">U152+V152+W152+X152</f>
        <v>0</v>
      </c>
      <c r="U152" s="384"/>
      <c r="V152" s="384"/>
      <c r="W152" s="384"/>
      <c r="X152" s="384"/>
      <c r="Y152" s="384">
        <f t="shared" ref="Y152:Y153" si="141">Z152+AA152+AB152+AC152</f>
        <v>0</v>
      </c>
      <c r="Z152" s="384"/>
      <c r="AA152" s="384"/>
      <c r="AB152" s="384"/>
      <c r="AC152" s="386"/>
      <c r="AD152" s="384">
        <f t="shared" ref="AD152:AD153" si="142">SUM(AE152:AH152)</f>
        <v>0</v>
      </c>
      <c r="AE152" s="384"/>
      <c r="AF152" s="384"/>
      <c r="AG152" s="384"/>
      <c r="AH152" s="386"/>
      <c r="AI152" s="384">
        <f t="shared" ref="AI152:AI153" si="143">SUM(AJ152:AM152)</f>
        <v>0</v>
      </c>
      <c r="AJ152" s="384"/>
      <c r="AK152" s="384"/>
      <c r="AL152" s="384"/>
      <c r="AM152" s="386"/>
      <c r="AN152" s="384">
        <v>0</v>
      </c>
      <c r="AO152" s="384"/>
      <c r="AP152" s="384"/>
      <c r="AQ152" s="384"/>
      <c r="AR152" s="386"/>
      <c r="AS152" s="384">
        <v>954206.1100000001</v>
      </c>
      <c r="AT152" s="384"/>
      <c r="AU152" s="384"/>
      <c r="AV152" s="384"/>
      <c r="AW152" s="386">
        <v>954206.1100000001</v>
      </c>
      <c r="AX152" s="384">
        <f t="shared" ref="AX152:AX156" si="144">SUM(AY152:BB152)</f>
        <v>0</v>
      </c>
      <c r="AY152" s="384"/>
      <c r="AZ152" s="384"/>
      <c r="BA152" s="384"/>
      <c r="BB152" s="386"/>
      <c r="BC152" s="384">
        <f t="shared" si="125"/>
        <v>-1.1641532182693481E-10</v>
      </c>
      <c r="BD152" s="384"/>
      <c r="BE152" s="384"/>
      <c r="BF152" s="384"/>
      <c r="BG152" s="384">
        <f t="shared" ref="BG152:BG156" si="145">SUM(BH152:BK152)</f>
        <v>0</v>
      </c>
      <c r="BH152" s="384"/>
      <c r="BI152" s="384"/>
      <c r="BJ152" s="384"/>
      <c r="BK152" s="384"/>
      <c r="BL152" s="384">
        <f t="shared" ref="BL152:BL156" si="146">BM152+BN152+BO152+BP152</f>
        <v>0</v>
      </c>
      <c r="BM152" s="384"/>
      <c r="BN152" s="384"/>
      <c r="BO152" s="384"/>
      <c r="BP152" s="384"/>
      <c r="BQ152" s="384">
        <f t="shared" ref="BQ152:BQ156" si="147">SUM(BR152:BU152)</f>
        <v>0</v>
      </c>
      <c r="BR152" s="384"/>
      <c r="BS152" s="384"/>
      <c r="BT152" s="384"/>
      <c r="BU152" s="386"/>
      <c r="BV152" s="384">
        <f t="shared" si="124"/>
        <v>-1.1641532182693481E-10</v>
      </c>
    </row>
    <row r="153" spans="1:74" ht="85.9" customHeight="1" x14ac:dyDescent="0.25">
      <c r="A153" s="382" t="s">
        <v>673</v>
      </c>
      <c r="B153" s="388" t="s">
        <v>698</v>
      </c>
      <c r="C153" s="377">
        <v>226</v>
      </c>
      <c r="D153" s="387" t="s">
        <v>703</v>
      </c>
      <c r="E153" s="384">
        <f t="shared" si="137"/>
        <v>1690.14</v>
      </c>
      <c r="F153" s="384"/>
      <c r="G153" s="384"/>
      <c r="H153" s="384"/>
      <c r="I153" s="384">
        <v>1690.14</v>
      </c>
      <c r="J153" s="384">
        <f t="shared" si="138"/>
        <v>0</v>
      </c>
      <c r="K153" s="384"/>
      <c r="L153" s="384"/>
      <c r="M153" s="384"/>
      <c r="N153" s="384"/>
      <c r="O153" s="384">
        <f t="shared" si="139"/>
        <v>0</v>
      </c>
      <c r="P153" s="384"/>
      <c r="Q153" s="384"/>
      <c r="R153" s="384"/>
      <c r="S153" s="384"/>
      <c r="T153" s="384">
        <f t="shared" si="140"/>
        <v>0</v>
      </c>
      <c r="U153" s="384"/>
      <c r="V153" s="384"/>
      <c r="W153" s="384"/>
      <c r="X153" s="384"/>
      <c r="Y153" s="384">
        <f t="shared" si="141"/>
        <v>0</v>
      </c>
      <c r="Z153" s="384"/>
      <c r="AA153" s="384"/>
      <c r="AB153" s="384"/>
      <c r="AC153" s="386"/>
      <c r="AD153" s="384">
        <f t="shared" si="142"/>
        <v>0</v>
      </c>
      <c r="AE153" s="384"/>
      <c r="AF153" s="384"/>
      <c r="AG153" s="384"/>
      <c r="AH153" s="386"/>
      <c r="AI153" s="384">
        <f t="shared" si="143"/>
        <v>0</v>
      </c>
      <c r="AJ153" s="384"/>
      <c r="AK153" s="384"/>
      <c r="AL153" s="384"/>
      <c r="AM153" s="386"/>
      <c r="AN153" s="384">
        <v>1690.14</v>
      </c>
      <c r="AO153" s="384"/>
      <c r="AP153" s="384"/>
      <c r="AQ153" s="384"/>
      <c r="AR153" s="386">
        <v>1690.14</v>
      </c>
      <c r="AS153" s="384">
        <v>0</v>
      </c>
      <c r="AT153" s="384"/>
      <c r="AU153" s="384"/>
      <c r="AV153" s="384"/>
      <c r="AW153" s="386"/>
      <c r="AX153" s="384">
        <f t="shared" si="144"/>
        <v>0</v>
      </c>
      <c r="AY153" s="384"/>
      <c r="AZ153" s="384"/>
      <c r="BA153" s="384"/>
      <c r="BB153" s="386"/>
      <c r="BC153" s="384">
        <f t="shared" si="125"/>
        <v>0</v>
      </c>
      <c r="BD153" s="384"/>
      <c r="BE153" s="384"/>
      <c r="BF153" s="384"/>
      <c r="BG153" s="384">
        <f t="shared" si="145"/>
        <v>0</v>
      </c>
      <c r="BH153" s="384"/>
      <c r="BI153" s="384"/>
      <c r="BJ153" s="384"/>
      <c r="BK153" s="384"/>
      <c r="BL153" s="384">
        <f t="shared" si="146"/>
        <v>0</v>
      </c>
      <c r="BM153" s="384"/>
      <c r="BN153" s="384"/>
      <c r="BO153" s="384"/>
      <c r="BP153" s="384"/>
      <c r="BQ153" s="384">
        <f t="shared" si="147"/>
        <v>0</v>
      </c>
      <c r="BR153" s="384"/>
      <c r="BS153" s="384"/>
      <c r="BT153" s="384"/>
      <c r="BU153" s="386"/>
      <c r="BV153" s="384">
        <f t="shared" si="124"/>
        <v>0</v>
      </c>
    </row>
    <row r="154" spans="1:74" ht="85.9" customHeight="1" x14ac:dyDescent="0.25">
      <c r="A154" s="382" t="s">
        <v>710</v>
      </c>
      <c r="B154" s="383" t="s">
        <v>708</v>
      </c>
      <c r="C154" s="374">
        <v>226</v>
      </c>
      <c r="D154" s="387" t="s">
        <v>729</v>
      </c>
      <c r="E154" s="384">
        <f t="shared" si="137"/>
        <v>1908.41</v>
      </c>
      <c r="F154" s="384"/>
      <c r="G154" s="384"/>
      <c r="H154" s="384"/>
      <c r="I154" s="384">
        <v>1908.41</v>
      </c>
      <c r="J154" s="384">
        <v>0</v>
      </c>
      <c r="K154" s="384"/>
      <c r="L154" s="384"/>
      <c r="M154" s="384"/>
      <c r="N154" s="384"/>
      <c r="O154" s="384">
        <v>0</v>
      </c>
      <c r="P154" s="384"/>
      <c r="Q154" s="384"/>
      <c r="R154" s="384"/>
      <c r="S154" s="384"/>
      <c r="T154" s="384">
        <v>0</v>
      </c>
      <c r="U154" s="384"/>
      <c r="V154" s="384"/>
      <c r="W154" s="384"/>
      <c r="X154" s="384"/>
      <c r="Y154" s="384">
        <v>0</v>
      </c>
      <c r="Z154" s="384"/>
      <c r="AA154" s="384"/>
      <c r="AB154" s="384"/>
      <c r="AC154" s="386"/>
      <c r="AD154" s="384">
        <v>0</v>
      </c>
      <c r="AE154" s="384"/>
      <c r="AF154" s="384"/>
      <c r="AG154" s="384"/>
      <c r="AH154" s="386"/>
      <c r="AI154" s="384">
        <v>0</v>
      </c>
      <c r="AJ154" s="384"/>
      <c r="AK154" s="384"/>
      <c r="AL154" s="384"/>
      <c r="AM154" s="386"/>
      <c r="AN154" s="384">
        <v>0</v>
      </c>
      <c r="AO154" s="384"/>
      <c r="AP154" s="384"/>
      <c r="AQ154" s="384"/>
      <c r="AR154" s="386"/>
      <c r="AS154" s="384">
        <v>1908.41</v>
      </c>
      <c r="AT154" s="384"/>
      <c r="AU154" s="384"/>
      <c r="AV154" s="384"/>
      <c r="AW154" s="386">
        <v>1908.41</v>
      </c>
      <c r="AX154" s="384">
        <f t="shared" si="144"/>
        <v>0</v>
      </c>
      <c r="AY154" s="384"/>
      <c r="AZ154" s="384"/>
      <c r="BA154" s="384"/>
      <c r="BB154" s="386"/>
      <c r="BC154" s="384">
        <f t="shared" si="125"/>
        <v>0</v>
      </c>
      <c r="BD154" s="384"/>
      <c r="BE154" s="384"/>
      <c r="BF154" s="384"/>
      <c r="BG154" s="384">
        <f t="shared" si="145"/>
        <v>0</v>
      </c>
      <c r="BH154" s="384"/>
      <c r="BI154" s="384"/>
      <c r="BJ154" s="384"/>
      <c r="BK154" s="384"/>
      <c r="BL154" s="384">
        <f t="shared" si="146"/>
        <v>0</v>
      </c>
      <c r="BM154" s="384"/>
      <c r="BN154" s="384"/>
      <c r="BO154" s="384"/>
      <c r="BP154" s="384"/>
      <c r="BQ154" s="384">
        <f t="shared" si="147"/>
        <v>0</v>
      </c>
      <c r="BR154" s="384"/>
      <c r="BS154" s="384"/>
      <c r="BT154" s="384"/>
      <c r="BU154" s="386"/>
      <c r="BV154" s="384">
        <f t="shared" si="124"/>
        <v>0</v>
      </c>
    </row>
    <row r="155" spans="1:74" ht="115.5" customHeight="1" x14ac:dyDescent="0.25">
      <c r="A155" s="382" t="s">
        <v>734</v>
      </c>
      <c r="B155" s="383" t="s">
        <v>758</v>
      </c>
      <c r="C155" s="374">
        <v>226</v>
      </c>
      <c r="D155" s="387" t="s">
        <v>735</v>
      </c>
      <c r="E155" s="384">
        <f t="shared" si="137"/>
        <v>57136.17</v>
      </c>
      <c r="F155" s="384"/>
      <c r="G155" s="384"/>
      <c r="H155" s="384"/>
      <c r="I155" s="384">
        <v>57136.17</v>
      </c>
      <c r="J155" s="384">
        <v>0</v>
      </c>
      <c r="K155" s="384"/>
      <c r="L155" s="384"/>
      <c r="M155" s="384"/>
      <c r="N155" s="384"/>
      <c r="O155" s="384">
        <v>0</v>
      </c>
      <c r="P155" s="384"/>
      <c r="Q155" s="384"/>
      <c r="R155" s="384"/>
      <c r="S155" s="384"/>
      <c r="T155" s="384">
        <v>0</v>
      </c>
      <c r="U155" s="384"/>
      <c r="V155" s="384"/>
      <c r="W155" s="384"/>
      <c r="X155" s="384"/>
      <c r="Y155" s="384">
        <v>0</v>
      </c>
      <c r="Z155" s="384"/>
      <c r="AA155" s="384"/>
      <c r="AB155" s="384"/>
      <c r="AC155" s="386"/>
      <c r="AD155" s="384">
        <v>0</v>
      </c>
      <c r="AE155" s="384"/>
      <c r="AF155" s="384"/>
      <c r="AG155" s="384"/>
      <c r="AH155" s="386"/>
      <c r="AI155" s="384">
        <v>0</v>
      </c>
      <c r="AJ155" s="384"/>
      <c r="AK155" s="384"/>
      <c r="AL155" s="384"/>
      <c r="AM155" s="386"/>
      <c r="AN155" s="384">
        <v>0</v>
      </c>
      <c r="AO155" s="384"/>
      <c r="AP155" s="384"/>
      <c r="AQ155" s="384"/>
      <c r="AR155" s="386">
        <v>0</v>
      </c>
      <c r="AS155" s="384">
        <v>57136.17</v>
      </c>
      <c r="AT155" s="384"/>
      <c r="AU155" s="384"/>
      <c r="AV155" s="384"/>
      <c r="AW155" s="386">
        <v>57136.17</v>
      </c>
      <c r="AX155" s="384">
        <f t="shared" si="144"/>
        <v>0</v>
      </c>
      <c r="AY155" s="384"/>
      <c r="AZ155" s="384"/>
      <c r="BA155" s="384"/>
      <c r="BB155" s="386"/>
      <c r="BC155" s="384">
        <f t="shared" si="125"/>
        <v>0</v>
      </c>
      <c r="BD155" s="384"/>
      <c r="BE155" s="384"/>
      <c r="BF155" s="384"/>
      <c r="BG155" s="384">
        <f t="shared" si="145"/>
        <v>0</v>
      </c>
      <c r="BH155" s="384"/>
      <c r="BI155" s="384"/>
      <c r="BJ155" s="384"/>
      <c r="BK155" s="384"/>
      <c r="BL155" s="384">
        <f t="shared" si="146"/>
        <v>0</v>
      </c>
      <c r="BM155" s="384"/>
      <c r="BN155" s="384"/>
      <c r="BO155" s="384"/>
      <c r="BP155" s="384"/>
      <c r="BQ155" s="384">
        <f t="shared" si="147"/>
        <v>0</v>
      </c>
      <c r="BR155" s="384"/>
      <c r="BS155" s="384"/>
      <c r="BT155" s="384"/>
      <c r="BU155" s="386"/>
      <c r="BV155" s="384">
        <f t="shared" si="124"/>
        <v>0</v>
      </c>
    </row>
    <row r="156" spans="1:74" ht="115.5" customHeight="1" x14ac:dyDescent="0.25">
      <c r="A156" s="382" t="s">
        <v>736</v>
      </c>
      <c r="B156" s="383" t="s">
        <v>759</v>
      </c>
      <c r="C156" s="374">
        <v>226</v>
      </c>
      <c r="D156" s="387" t="s">
        <v>737</v>
      </c>
      <c r="E156" s="384">
        <f t="shared" si="137"/>
        <v>59104.959999999999</v>
      </c>
      <c r="F156" s="384"/>
      <c r="G156" s="384"/>
      <c r="H156" s="384"/>
      <c r="I156" s="384">
        <v>59104.959999999999</v>
      </c>
      <c r="J156" s="384">
        <v>0</v>
      </c>
      <c r="K156" s="384"/>
      <c r="L156" s="384"/>
      <c r="M156" s="384"/>
      <c r="N156" s="384"/>
      <c r="O156" s="384">
        <v>0</v>
      </c>
      <c r="P156" s="384"/>
      <c r="Q156" s="384"/>
      <c r="R156" s="384"/>
      <c r="S156" s="384"/>
      <c r="T156" s="384">
        <v>0</v>
      </c>
      <c r="U156" s="384"/>
      <c r="V156" s="384"/>
      <c r="W156" s="384"/>
      <c r="X156" s="384"/>
      <c r="Y156" s="384">
        <v>0</v>
      </c>
      <c r="Z156" s="384"/>
      <c r="AA156" s="384"/>
      <c r="AB156" s="384"/>
      <c r="AC156" s="386"/>
      <c r="AD156" s="384">
        <v>0</v>
      </c>
      <c r="AE156" s="384"/>
      <c r="AF156" s="384"/>
      <c r="AG156" s="384"/>
      <c r="AH156" s="386"/>
      <c r="AI156" s="384">
        <v>0</v>
      </c>
      <c r="AJ156" s="384"/>
      <c r="AK156" s="384"/>
      <c r="AL156" s="384"/>
      <c r="AM156" s="386"/>
      <c r="AN156" s="384">
        <v>0</v>
      </c>
      <c r="AO156" s="384"/>
      <c r="AP156" s="384"/>
      <c r="AQ156" s="384"/>
      <c r="AR156" s="386">
        <v>0</v>
      </c>
      <c r="AS156" s="384">
        <v>59104.959999999999</v>
      </c>
      <c r="AT156" s="384"/>
      <c r="AU156" s="384"/>
      <c r="AV156" s="384"/>
      <c r="AW156" s="386">
        <v>59104.959999999999</v>
      </c>
      <c r="AX156" s="384">
        <f t="shared" si="144"/>
        <v>0</v>
      </c>
      <c r="AY156" s="384"/>
      <c r="AZ156" s="384"/>
      <c r="BA156" s="384"/>
      <c r="BB156" s="386"/>
      <c r="BC156" s="384">
        <f t="shared" si="125"/>
        <v>0</v>
      </c>
      <c r="BD156" s="384"/>
      <c r="BE156" s="384"/>
      <c r="BF156" s="384"/>
      <c r="BG156" s="384">
        <f t="shared" si="145"/>
        <v>0</v>
      </c>
      <c r="BH156" s="384"/>
      <c r="BI156" s="384"/>
      <c r="BJ156" s="384"/>
      <c r="BK156" s="384"/>
      <c r="BL156" s="384">
        <f t="shared" si="146"/>
        <v>0</v>
      </c>
      <c r="BM156" s="384"/>
      <c r="BN156" s="384"/>
      <c r="BO156" s="384"/>
      <c r="BP156" s="384"/>
      <c r="BQ156" s="384">
        <f t="shared" si="147"/>
        <v>0</v>
      </c>
      <c r="BR156" s="384"/>
      <c r="BS156" s="384"/>
      <c r="BT156" s="384"/>
      <c r="BU156" s="386"/>
      <c r="BV156" s="384">
        <f t="shared" si="124"/>
        <v>0</v>
      </c>
    </row>
    <row r="157" spans="1:74" ht="39.6" customHeight="1" x14ac:dyDescent="0.25">
      <c r="A157" s="382" t="s">
        <v>40</v>
      </c>
      <c r="B157" s="383" t="s">
        <v>760</v>
      </c>
      <c r="C157" s="374"/>
      <c r="D157" s="383"/>
      <c r="E157" s="384">
        <f>SUM(E161:E177)+E158</f>
        <v>66246081.729999997</v>
      </c>
      <c r="F157" s="384">
        <f t="shared" ref="F157:BV157" si="148">SUM(F159:F177)</f>
        <v>14441249.24</v>
      </c>
      <c r="G157" s="384">
        <f t="shared" si="148"/>
        <v>32175663.699999999</v>
      </c>
      <c r="H157" s="384">
        <f t="shared" si="148"/>
        <v>3955523.0700000003</v>
      </c>
      <c r="I157" s="384">
        <f t="shared" si="148"/>
        <v>15673645.720000003</v>
      </c>
      <c r="J157" s="384">
        <f t="shared" si="148"/>
        <v>348175.05</v>
      </c>
      <c r="K157" s="384">
        <f t="shared" si="148"/>
        <v>0</v>
      </c>
      <c r="L157" s="384">
        <f t="shared" si="148"/>
        <v>0</v>
      </c>
      <c r="M157" s="384">
        <f t="shared" si="148"/>
        <v>0</v>
      </c>
      <c r="N157" s="384">
        <f t="shared" si="148"/>
        <v>348175.05</v>
      </c>
      <c r="O157" s="384">
        <f t="shared" si="148"/>
        <v>8991124.4500000011</v>
      </c>
      <c r="P157" s="384">
        <f t="shared" si="148"/>
        <v>1322718.82</v>
      </c>
      <c r="Q157" s="384">
        <f t="shared" si="148"/>
        <v>3198164.41</v>
      </c>
      <c r="R157" s="384">
        <f t="shared" si="148"/>
        <v>383524.7</v>
      </c>
      <c r="S157" s="384">
        <f t="shared" si="148"/>
        <v>4086716.5199999996</v>
      </c>
      <c r="T157" s="384">
        <f t="shared" si="148"/>
        <v>53150070.770000011</v>
      </c>
      <c r="U157" s="384">
        <f t="shared" si="148"/>
        <v>13118530.42</v>
      </c>
      <c r="V157" s="384">
        <f t="shared" si="148"/>
        <v>28977499.289999999</v>
      </c>
      <c r="W157" s="384">
        <f t="shared" si="148"/>
        <v>3571998.37</v>
      </c>
      <c r="X157" s="384">
        <f t="shared" si="148"/>
        <v>7482042.6900000004</v>
      </c>
      <c r="Y157" s="384">
        <f t="shared" si="148"/>
        <v>3400826.84</v>
      </c>
      <c r="Z157" s="384">
        <f t="shared" si="148"/>
        <v>0</v>
      </c>
      <c r="AA157" s="384">
        <f t="shared" si="148"/>
        <v>0</v>
      </c>
      <c r="AB157" s="384">
        <f t="shared" si="148"/>
        <v>0</v>
      </c>
      <c r="AC157" s="384">
        <f t="shared" si="148"/>
        <v>3400826.84</v>
      </c>
      <c r="AD157" s="384">
        <f t="shared" si="148"/>
        <v>62273.89</v>
      </c>
      <c r="AE157" s="384">
        <f t="shared" si="148"/>
        <v>0</v>
      </c>
      <c r="AF157" s="384">
        <f t="shared" si="148"/>
        <v>0</v>
      </c>
      <c r="AG157" s="384">
        <f t="shared" si="148"/>
        <v>0</v>
      </c>
      <c r="AH157" s="384">
        <f t="shared" si="148"/>
        <v>62273.89</v>
      </c>
      <c r="AI157" s="384">
        <f t="shared" si="148"/>
        <v>293610.73</v>
      </c>
      <c r="AJ157" s="384">
        <f t="shared" si="148"/>
        <v>0</v>
      </c>
      <c r="AK157" s="384">
        <f t="shared" si="148"/>
        <v>0</v>
      </c>
      <c r="AL157" s="384">
        <f t="shared" si="148"/>
        <v>0</v>
      </c>
      <c r="AM157" s="384">
        <f t="shared" si="148"/>
        <v>293610.73</v>
      </c>
      <c r="AN157" s="384">
        <v>0</v>
      </c>
      <c r="AO157" s="384">
        <v>0</v>
      </c>
      <c r="AP157" s="384">
        <v>0</v>
      </c>
      <c r="AQ157" s="384">
        <v>0</v>
      </c>
      <c r="AR157" s="384">
        <v>0</v>
      </c>
      <c r="AS157" s="384">
        <v>0</v>
      </c>
      <c r="AT157" s="384">
        <v>0</v>
      </c>
      <c r="AU157" s="384">
        <v>0</v>
      </c>
      <c r="AV157" s="384">
        <v>0</v>
      </c>
      <c r="AW157" s="384">
        <v>0</v>
      </c>
      <c r="AX157" s="384">
        <f t="shared" ref="AX157:BB157" si="149">SUM(AX159:AX177)</f>
        <v>0</v>
      </c>
      <c r="AY157" s="384">
        <f t="shared" si="149"/>
        <v>0</v>
      </c>
      <c r="AZ157" s="384">
        <f t="shared" si="149"/>
        <v>0</v>
      </c>
      <c r="BA157" s="384">
        <f t="shared" si="149"/>
        <v>0</v>
      </c>
      <c r="BB157" s="384">
        <f t="shared" si="149"/>
        <v>0</v>
      </c>
      <c r="BC157" s="384">
        <f t="shared" si="148"/>
        <v>-1.0582880349829793E-8</v>
      </c>
      <c r="BD157" s="384">
        <f>BD158</f>
        <v>1397.9</v>
      </c>
      <c r="BE157" s="384">
        <f t="shared" ref="BE157:BF157" si="150">BE158</f>
        <v>1442.2</v>
      </c>
      <c r="BF157" s="384">
        <f t="shared" si="150"/>
        <v>1550.8999999999999</v>
      </c>
      <c r="BG157" s="384">
        <f t="shared" si="148"/>
        <v>0</v>
      </c>
      <c r="BH157" s="384">
        <f t="shared" si="148"/>
        <v>0</v>
      </c>
      <c r="BI157" s="384">
        <f t="shared" si="148"/>
        <v>0</v>
      </c>
      <c r="BJ157" s="384">
        <f t="shared" si="148"/>
        <v>0</v>
      </c>
      <c r="BK157" s="384">
        <f t="shared" si="148"/>
        <v>0</v>
      </c>
      <c r="BL157" s="384">
        <f t="shared" si="148"/>
        <v>0</v>
      </c>
      <c r="BM157" s="384">
        <f t="shared" si="148"/>
        <v>0</v>
      </c>
      <c r="BN157" s="384">
        <f t="shared" si="148"/>
        <v>0</v>
      </c>
      <c r="BO157" s="384">
        <f t="shared" si="148"/>
        <v>0</v>
      </c>
      <c r="BP157" s="384">
        <f t="shared" si="148"/>
        <v>0</v>
      </c>
      <c r="BQ157" s="384">
        <f t="shared" si="148"/>
        <v>0</v>
      </c>
      <c r="BR157" s="384">
        <f t="shared" si="148"/>
        <v>0</v>
      </c>
      <c r="BS157" s="384">
        <f t="shared" si="148"/>
        <v>0</v>
      </c>
      <c r="BT157" s="384">
        <f t="shared" si="148"/>
        <v>0</v>
      </c>
      <c r="BU157" s="384">
        <f t="shared" si="148"/>
        <v>0</v>
      </c>
      <c r="BV157" s="384">
        <f t="shared" si="148"/>
        <v>-1.0582880349829793E-8</v>
      </c>
    </row>
    <row r="158" spans="1:74" ht="131.44999999999999" customHeight="1" x14ac:dyDescent="0.25">
      <c r="A158" s="393" t="s">
        <v>94</v>
      </c>
      <c r="B158" s="383" t="s">
        <v>32</v>
      </c>
      <c r="C158" s="366">
        <v>310</v>
      </c>
      <c r="D158" s="394" t="s">
        <v>580</v>
      </c>
      <c r="E158" s="384">
        <f t="shared" ref="E158:AH158" si="151">SUM(E159:E160)</f>
        <v>58876364.409999996</v>
      </c>
      <c r="F158" s="384">
        <f t="shared" si="151"/>
        <v>14441249.24</v>
      </c>
      <c r="G158" s="384">
        <f t="shared" si="151"/>
        <v>32175663.699999999</v>
      </c>
      <c r="H158" s="384">
        <f t="shared" si="151"/>
        <v>3955523.0700000003</v>
      </c>
      <c r="I158" s="384">
        <f t="shared" si="151"/>
        <v>8303928.4000000004</v>
      </c>
      <c r="J158" s="384">
        <f t="shared" ref="J158:J173" si="152">K158+L158+M158+N158</f>
        <v>0</v>
      </c>
      <c r="K158" s="384"/>
      <c r="L158" s="384"/>
      <c r="M158" s="384"/>
      <c r="N158" s="384"/>
      <c r="O158" s="384">
        <f t="shared" si="78"/>
        <v>4904407.9300000006</v>
      </c>
      <c r="P158" s="384">
        <f t="shared" si="151"/>
        <v>1322718.82</v>
      </c>
      <c r="Q158" s="384">
        <f t="shared" si="151"/>
        <v>3198164.41</v>
      </c>
      <c r="R158" s="384">
        <f t="shared" si="151"/>
        <v>383524.7</v>
      </c>
      <c r="S158" s="384">
        <f t="shared" si="151"/>
        <v>0</v>
      </c>
      <c r="T158" s="384">
        <f t="shared" ref="T158:T173" si="153">U158+V158+W158+X158</f>
        <v>52369868.68</v>
      </c>
      <c r="U158" s="384">
        <f t="shared" si="151"/>
        <v>13118530.42</v>
      </c>
      <c r="V158" s="384">
        <f t="shared" si="151"/>
        <v>28977499.289999999</v>
      </c>
      <c r="W158" s="384">
        <f t="shared" si="151"/>
        <v>3571998.37</v>
      </c>
      <c r="X158" s="384">
        <f t="shared" si="151"/>
        <v>6701840.5999999996</v>
      </c>
      <c r="Y158" s="384">
        <f t="shared" si="151"/>
        <v>1574364.46</v>
      </c>
      <c r="Z158" s="384">
        <f t="shared" si="151"/>
        <v>0</v>
      </c>
      <c r="AA158" s="384">
        <f t="shared" si="151"/>
        <v>0</v>
      </c>
      <c r="AB158" s="384">
        <f t="shared" si="151"/>
        <v>0</v>
      </c>
      <c r="AC158" s="386">
        <f t="shared" si="151"/>
        <v>1574364.46</v>
      </c>
      <c r="AD158" s="384">
        <f t="shared" si="151"/>
        <v>27723.34</v>
      </c>
      <c r="AE158" s="384">
        <f t="shared" si="151"/>
        <v>0</v>
      </c>
      <c r="AF158" s="384">
        <f t="shared" si="151"/>
        <v>0</v>
      </c>
      <c r="AG158" s="384">
        <f t="shared" si="151"/>
        <v>0</v>
      </c>
      <c r="AH158" s="386">
        <f t="shared" si="151"/>
        <v>27723.34</v>
      </c>
      <c r="AI158" s="384">
        <f t="shared" ref="AI158:BD158" si="154">SUM(AI159:AI160)</f>
        <v>0</v>
      </c>
      <c r="AJ158" s="384">
        <v>0</v>
      </c>
      <c r="AK158" s="384">
        <v>0</v>
      </c>
      <c r="AL158" s="384">
        <v>0</v>
      </c>
      <c r="AM158" s="386">
        <v>0</v>
      </c>
      <c r="AN158" s="384">
        <v>0</v>
      </c>
      <c r="AO158" s="384"/>
      <c r="AP158" s="384"/>
      <c r="AQ158" s="384"/>
      <c r="AR158" s="386"/>
      <c r="AS158" s="384">
        <v>0</v>
      </c>
      <c r="AT158" s="384"/>
      <c r="AU158" s="384"/>
      <c r="AV158" s="384"/>
      <c r="AW158" s="386"/>
      <c r="AX158" s="384">
        <f>SUM(AX159:AX160)</f>
        <v>0</v>
      </c>
      <c r="AY158" s="384"/>
      <c r="AZ158" s="384"/>
      <c r="BA158" s="384"/>
      <c r="BB158" s="386"/>
      <c r="BC158" s="384">
        <f>SUM(BC159:BC160)</f>
        <v>-1.0393705451861024E-8</v>
      </c>
      <c r="BD158" s="384">
        <f t="shared" si="154"/>
        <v>1397.9</v>
      </c>
      <c r="BE158" s="384">
        <f>BE159+BE160</f>
        <v>1442.2</v>
      </c>
      <c r="BF158" s="384">
        <f>BF159+BF160</f>
        <v>1550.8999999999999</v>
      </c>
      <c r="BG158" s="384">
        <f>SUM(BG159:BG160)</f>
        <v>0</v>
      </c>
      <c r="BH158" s="384"/>
      <c r="BI158" s="384"/>
      <c r="BJ158" s="384"/>
      <c r="BK158" s="384"/>
      <c r="BL158" s="384">
        <f t="shared" si="67"/>
        <v>7.8216544352471828E-10</v>
      </c>
      <c r="BM158" s="384">
        <f>BM160+BM159</f>
        <v>0</v>
      </c>
      <c r="BN158" s="384">
        <f>BN160+BN159</f>
        <v>0</v>
      </c>
      <c r="BO158" s="384">
        <f>BO160+BO159</f>
        <v>0</v>
      </c>
      <c r="BP158" s="384">
        <f>I158-N158-S158-X158-AC158-AH158-BK158-AM158-AR158-AW158</f>
        <v>7.8216544352471828E-10</v>
      </c>
      <c r="BQ158" s="384">
        <f>SUM(BQ159:BQ160)</f>
        <v>0</v>
      </c>
      <c r="BR158" s="384"/>
      <c r="BS158" s="384"/>
      <c r="BT158" s="384"/>
      <c r="BU158" s="386"/>
      <c r="BV158" s="384">
        <f t="shared" ref="BV158:BV177" si="155">BC158-BQ158</f>
        <v>-1.0393705451861024E-8</v>
      </c>
    </row>
    <row r="159" spans="1:74" ht="27.6" customHeight="1" x14ac:dyDescent="0.25">
      <c r="A159" s="396"/>
      <c r="B159" s="383" t="s">
        <v>193</v>
      </c>
      <c r="C159" s="397"/>
      <c r="D159" s="398"/>
      <c r="E159" s="399">
        <f>F159+G159+H159+I159</f>
        <v>56719708.409999996</v>
      </c>
      <c r="F159" s="399">
        <v>13058904.550000001</v>
      </c>
      <c r="G159" s="399">
        <v>31570035.239999998</v>
      </c>
      <c r="H159" s="399">
        <v>3786840.22</v>
      </c>
      <c r="I159" s="399">
        <v>8303928.4000000004</v>
      </c>
      <c r="J159" s="384">
        <f t="shared" si="152"/>
        <v>0</v>
      </c>
      <c r="K159" s="384"/>
      <c r="L159" s="384"/>
      <c r="M159" s="384"/>
      <c r="N159" s="384"/>
      <c r="O159" s="384">
        <f t="shared" si="78"/>
        <v>4904407.9300000006</v>
      </c>
      <c r="P159" s="384">
        <v>1322718.82</v>
      </c>
      <c r="Q159" s="384">
        <v>3198164.41</v>
      </c>
      <c r="R159" s="384">
        <v>383524.7</v>
      </c>
      <c r="S159" s="384">
        <v>0</v>
      </c>
      <c r="T159" s="384">
        <f t="shared" si="153"/>
        <v>50213212.680000007</v>
      </c>
      <c r="U159" s="384">
        <v>11736185.73</v>
      </c>
      <c r="V159" s="384">
        <v>28371870.829999998</v>
      </c>
      <c r="W159" s="384">
        <v>3403315.52</v>
      </c>
      <c r="X159" s="384">
        <v>6701840.5999999996</v>
      </c>
      <c r="Y159" s="384">
        <f t="shared" ref="Y159:Y173" si="156">SUM(Z159:AC159)</f>
        <v>1574364.46</v>
      </c>
      <c r="Z159" s="384"/>
      <c r="AA159" s="384"/>
      <c r="AB159" s="384"/>
      <c r="AC159" s="386">
        <v>1574364.46</v>
      </c>
      <c r="AD159" s="384">
        <f t="shared" ref="AD159:AD173" si="157">SUM(AE159:AH159)</f>
        <v>27723.34</v>
      </c>
      <c r="AE159" s="384"/>
      <c r="AF159" s="384"/>
      <c r="AG159" s="384"/>
      <c r="AH159" s="386">
        <v>27723.34</v>
      </c>
      <c r="AI159" s="384">
        <f t="shared" ref="AI159:AI173" si="158">SUM(AJ159:AM159)</f>
        <v>0</v>
      </c>
      <c r="AJ159" s="384"/>
      <c r="AK159" s="384"/>
      <c r="AL159" s="384"/>
      <c r="AM159" s="386"/>
      <c r="AN159" s="384">
        <v>0</v>
      </c>
      <c r="AO159" s="384"/>
      <c r="AP159" s="384"/>
      <c r="AQ159" s="384"/>
      <c r="AR159" s="386"/>
      <c r="AS159" s="384">
        <v>0</v>
      </c>
      <c r="AT159" s="384"/>
      <c r="AU159" s="384"/>
      <c r="AV159" s="384"/>
      <c r="AW159" s="386"/>
      <c r="AX159" s="384">
        <f t="shared" ref="AX159:AX173" si="159">SUM(AY159:BB159)</f>
        <v>0</v>
      </c>
      <c r="AY159" s="384"/>
      <c r="AZ159" s="384"/>
      <c r="BA159" s="384"/>
      <c r="BB159" s="386"/>
      <c r="BC159" s="384">
        <f>E159-J159-O159-T159-Y159-AD159-AI159-AN159-AS159-AX159</f>
        <v>-1.0393705451861024E-8</v>
      </c>
      <c r="BD159" s="384">
        <v>1344.2</v>
      </c>
      <c r="BE159" s="384">
        <v>1389.8</v>
      </c>
      <c r="BF159" s="384">
        <v>1494.55</v>
      </c>
      <c r="BG159" s="384">
        <f t="shared" ref="BG159:BG173" si="160">SUM(BH159:BK159)</f>
        <v>0</v>
      </c>
      <c r="BH159" s="384"/>
      <c r="BI159" s="384"/>
      <c r="BJ159" s="384"/>
      <c r="BK159" s="384"/>
      <c r="BL159" s="384">
        <f t="shared" si="67"/>
        <v>0</v>
      </c>
      <c r="BM159" s="384"/>
      <c r="BN159" s="384"/>
      <c r="BO159" s="384"/>
      <c r="BP159" s="384"/>
      <c r="BQ159" s="384">
        <f t="shared" ref="BQ159:BQ173" si="161">SUM(BR159:BU159)</f>
        <v>0</v>
      </c>
      <c r="BR159" s="384"/>
      <c r="BS159" s="384"/>
      <c r="BT159" s="384"/>
      <c r="BU159" s="386"/>
      <c r="BV159" s="384">
        <f t="shared" si="155"/>
        <v>-1.0393705451861024E-8</v>
      </c>
    </row>
    <row r="160" spans="1:74" ht="27.6" customHeight="1" x14ac:dyDescent="0.25">
      <c r="A160" s="404"/>
      <c r="B160" s="383" t="s">
        <v>194</v>
      </c>
      <c r="C160" s="373"/>
      <c r="D160" s="400"/>
      <c r="E160" s="399">
        <f>F160+G160+H160+I160</f>
        <v>2156656</v>
      </c>
      <c r="F160" s="399">
        <v>1382344.69</v>
      </c>
      <c r="G160" s="399">
        <v>605628.46</v>
      </c>
      <c r="H160" s="399">
        <v>168682.85</v>
      </c>
      <c r="I160" s="399">
        <v>0</v>
      </c>
      <c r="J160" s="384">
        <f t="shared" si="152"/>
        <v>0</v>
      </c>
      <c r="K160" s="384"/>
      <c r="L160" s="384"/>
      <c r="M160" s="384"/>
      <c r="N160" s="384"/>
      <c r="O160" s="384">
        <f t="shared" si="78"/>
        <v>0</v>
      </c>
      <c r="P160" s="384"/>
      <c r="Q160" s="384"/>
      <c r="R160" s="384"/>
      <c r="S160" s="384"/>
      <c r="T160" s="384">
        <f t="shared" si="153"/>
        <v>2156656</v>
      </c>
      <c r="U160" s="384">
        <v>1382344.69</v>
      </c>
      <c r="V160" s="384">
        <v>605628.46</v>
      </c>
      <c r="W160" s="384">
        <v>168682.85</v>
      </c>
      <c r="X160" s="384">
        <v>0</v>
      </c>
      <c r="Y160" s="384">
        <f t="shared" si="156"/>
        <v>0</v>
      </c>
      <c r="Z160" s="384"/>
      <c r="AA160" s="384"/>
      <c r="AB160" s="384"/>
      <c r="AC160" s="386"/>
      <c r="AD160" s="384">
        <f t="shared" si="157"/>
        <v>0</v>
      </c>
      <c r="AE160" s="384"/>
      <c r="AF160" s="384"/>
      <c r="AG160" s="384"/>
      <c r="AH160" s="386"/>
      <c r="AI160" s="384">
        <f t="shared" si="158"/>
        <v>0</v>
      </c>
      <c r="AJ160" s="384"/>
      <c r="AK160" s="384"/>
      <c r="AL160" s="384"/>
      <c r="AM160" s="386"/>
      <c r="AN160" s="384">
        <v>0</v>
      </c>
      <c r="AO160" s="384"/>
      <c r="AP160" s="384"/>
      <c r="AQ160" s="384"/>
      <c r="AR160" s="386"/>
      <c r="AS160" s="384">
        <v>0</v>
      </c>
      <c r="AT160" s="384"/>
      <c r="AU160" s="384"/>
      <c r="AV160" s="384"/>
      <c r="AW160" s="386"/>
      <c r="AX160" s="384">
        <f t="shared" si="159"/>
        <v>0</v>
      </c>
      <c r="AY160" s="384"/>
      <c r="AZ160" s="384"/>
      <c r="BA160" s="384"/>
      <c r="BB160" s="386"/>
      <c r="BC160" s="384">
        <f t="shared" ref="BC160:BC177" si="162">E160-J160-O160-T160-Y160-AD160-AI160-AN160-AS160-AX160</f>
        <v>0</v>
      </c>
      <c r="BD160" s="384">
        <v>53.7</v>
      </c>
      <c r="BE160" s="384">
        <v>52.4</v>
      </c>
      <c r="BF160" s="384">
        <v>56.35</v>
      </c>
      <c r="BG160" s="384">
        <f t="shared" si="160"/>
        <v>0</v>
      </c>
      <c r="BH160" s="384"/>
      <c r="BI160" s="384"/>
      <c r="BJ160" s="384"/>
      <c r="BK160" s="384"/>
      <c r="BL160" s="384">
        <f t="shared" si="67"/>
        <v>0</v>
      </c>
      <c r="BM160" s="384"/>
      <c r="BN160" s="384"/>
      <c r="BO160" s="384"/>
      <c r="BP160" s="384"/>
      <c r="BQ160" s="384">
        <f t="shared" si="161"/>
        <v>0</v>
      </c>
      <c r="BR160" s="384"/>
      <c r="BS160" s="384"/>
      <c r="BT160" s="384"/>
      <c r="BU160" s="386"/>
      <c r="BV160" s="384">
        <f t="shared" si="155"/>
        <v>0</v>
      </c>
    </row>
    <row r="161" spans="1:74" ht="32.450000000000003" customHeight="1" x14ac:dyDescent="0.25">
      <c r="A161" s="382" t="s">
        <v>95</v>
      </c>
      <c r="B161" s="383" t="s">
        <v>10</v>
      </c>
      <c r="C161" s="374">
        <v>226</v>
      </c>
      <c r="D161" s="387" t="s">
        <v>581</v>
      </c>
      <c r="E161" s="384">
        <f>F161+G161+H161+I161</f>
        <v>5000</v>
      </c>
      <c r="F161" s="384"/>
      <c r="G161" s="384"/>
      <c r="H161" s="384"/>
      <c r="I161" s="384">
        <v>5000</v>
      </c>
      <c r="J161" s="384">
        <f t="shared" si="152"/>
        <v>5000</v>
      </c>
      <c r="K161" s="384"/>
      <c r="L161" s="384"/>
      <c r="M161" s="384"/>
      <c r="N161" s="384">
        <v>5000</v>
      </c>
      <c r="O161" s="384">
        <f t="shared" si="78"/>
        <v>0</v>
      </c>
      <c r="P161" s="384"/>
      <c r="Q161" s="384"/>
      <c r="R161" s="384"/>
      <c r="S161" s="384"/>
      <c r="T161" s="384">
        <f t="shared" si="153"/>
        <v>0</v>
      </c>
      <c r="U161" s="384"/>
      <c r="V161" s="384"/>
      <c r="W161" s="384"/>
      <c r="X161" s="384"/>
      <c r="Y161" s="384">
        <f t="shared" si="156"/>
        <v>0</v>
      </c>
      <c r="Z161" s="384"/>
      <c r="AA161" s="384"/>
      <c r="AB161" s="384"/>
      <c r="AC161" s="386"/>
      <c r="AD161" s="384">
        <f t="shared" si="157"/>
        <v>0</v>
      </c>
      <c r="AE161" s="384"/>
      <c r="AF161" s="384"/>
      <c r="AG161" s="384"/>
      <c r="AH161" s="386"/>
      <c r="AI161" s="384">
        <f t="shared" si="158"/>
        <v>0</v>
      </c>
      <c r="AJ161" s="384"/>
      <c r="AK161" s="384"/>
      <c r="AL161" s="384"/>
      <c r="AM161" s="386"/>
      <c r="AN161" s="384">
        <v>0</v>
      </c>
      <c r="AO161" s="384"/>
      <c r="AP161" s="384"/>
      <c r="AQ161" s="384"/>
      <c r="AR161" s="386"/>
      <c r="AS161" s="384">
        <v>0</v>
      </c>
      <c r="AT161" s="384"/>
      <c r="AU161" s="384"/>
      <c r="AV161" s="384"/>
      <c r="AW161" s="386"/>
      <c r="AX161" s="384">
        <f t="shared" si="159"/>
        <v>0</v>
      </c>
      <c r="AY161" s="384"/>
      <c r="AZ161" s="384"/>
      <c r="BA161" s="384"/>
      <c r="BB161" s="386"/>
      <c r="BC161" s="384">
        <f t="shared" si="162"/>
        <v>0</v>
      </c>
      <c r="BD161" s="384"/>
      <c r="BE161" s="384"/>
      <c r="BF161" s="384"/>
      <c r="BG161" s="384">
        <f t="shared" si="160"/>
        <v>0</v>
      </c>
      <c r="BH161" s="384"/>
      <c r="BI161" s="384"/>
      <c r="BJ161" s="384"/>
      <c r="BK161" s="384"/>
      <c r="BL161" s="384">
        <f t="shared" si="67"/>
        <v>0</v>
      </c>
      <c r="BM161" s="384"/>
      <c r="BN161" s="384"/>
      <c r="BO161" s="384"/>
      <c r="BP161" s="384"/>
      <c r="BQ161" s="384">
        <f t="shared" si="161"/>
        <v>0</v>
      </c>
      <c r="BR161" s="384"/>
      <c r="BS161" s="384"/>
      <c r="BT161" s="384"/>
      <c r="BU161" s="386"/>
      <c r="BV161" s="384">
        <f t="shared" si="155"/>
        <v>0</v>
      </c>
    </row>
    <row r="162" spans="1:74" ht="32.450000000000003" customHeight="1" x14ac:dyDescent="0.25">
      <c r="A162" s="382" t="s">
        <v>96</v>
      </c>
      <c r="B162" s="383" t="s">
        <v>8</v>
      </c>
      <c r="C162" s="374">
        <v>226</v>
      </c>
      <c r="D162" s="387" t="s">
        <v>568</v>
      </c>
      <c r="E162" s="384">
        <f t="shared" ref="E162:E173" si="163">F162+G162+H162+I162</f>
        <v>7500</v>
      </c>
      <c r="F162" s="384"/>
      <c r="G162" s="384"/>
      <c r="H162" s="384"/>
      <c r="I162" s="384">
        <v>7500</v>
      </c>
      <c r="J162" s="384">
        <f t="shared" si="152"/>
        <v>0</v>
      </c>
      <c r="K162" s="384"/>
      <c r="L162" s="384"/>
      <c r="M162" s="384"/>
      <c r="N162" s="384"/>
      <c r="O162" s="384">
        <f t="shared" si="78"/>
        <v>7500</v>
      </c>
      <c r="P162" s="384"/>
      <c r="Q162" s="384"/>
      <c r="R162" s="384"/>
      <c r="S162" s="384">
        <v>7500</v>
      </c>
      <c r="T162" s="384">
        <f t="shared" si="153"/>
        <v>0</v>
      </c>
      <c r="U162" s="384"/>
      <c r="V162" s="384"/>
      <c r="W162" s="384"/>
      <c r="X162" s="384"/>
      <c r="Y162" s="384">
        <f t="shared" si="156"/>
        <v>0</v>
      </c>
      <c r="Z162" s="384"/>
      <c r="AA162" s="384"/>
      <c r="AB162" s="384"/>
      <c r="AC162" s="386"/>
      <c r="AD162" s="384">
        <f t="shared" si="157"/>
        <v>0</v>
      </c>
      <c r="AE162" s="384"/>
      <c r="AF162" s="384"/>
      <c r="AG162" s="384"/>
      <c r="AH162" s="386"/>
      <c r="AI162" s="384">
        <f t="shared" si="158"/>
        <v>0</v>
      </c>
      <c r="AJ162" s="384"/>
      <c r="AK162" s="384"/>
      <c r="AL162" s="384"/>
      <c r="AM162" s="386"/>
      <c r="AN162" s="384">
        <v>0</v>
      </c>
      <c r="AO162" s="384"/>
      <c r="AP162" s="384"/>
      <c r="AQ162" s="384"/>
      <c r="AR162" s="386"/>
      <c r="AS162" s="384">
        <v>0</v>
      </c>
      <c r="AT162" s="384"/>
      <c r="AU162" s="384"/>
      <c r="AV162" s="384"/>
      <c r="AW162" s="386"/>
      <c r="AX162" s="384">
        <f t="shared" si="159"/>
        <v>0</v>
      </c>
      <c r="AY162" s="384"/>
      <c r="AZ162" s="384"/>
      <c r="BA162" s="384"/>
      <c r="BB162" s="386"/>
      <c r="BC162" s="384">
        <f t="shared" si="162"/>
        <v>0</v>
      </c>
      <c r="BD162" s="384"/>
      <c r="BE162" s="384"/>
      <c r="BF162" s="384"/>
      <c r="BG162" s="384">
        <f t="shared" si="160"/>
        <v>0</v>
      </c>
      <c r="BH162" s="384"/>
      <c r="BI162" s="384"/>
      <c r="BJ162" s="384"/>
      <c r="BK162" s="384"/>
      <c r="BL162" s="384">
        <f t="shared" si="67"/>
        <v>0</v>
      </c>
      <c r="BM162" s="384"/>
      <c r="BN162" s="384"/>
      <c r="BO162" s="384"/>
      <c r="BP162" s="384"/>
      <c r="BQ162" s="384">
        <f t="shared" si="161"/>
        <v>0</v>
      </c>
      <c r="BR162" s="384"/>
      <c r="BS162" s="384"/>
      <c r="BT162" s="384"/>
      <c r="BU162" s="386"/>
      <c r="BV162" s="384">
        <f t="shared" si="155"/>
        <v>0</v>
      </c>
    </row>
    <row r="163" spans="1:74" ht="42.6" customHeight="1" x14ac:dyDescent="0.25">
      <c r="A163" s="382" t="s">
        <v>97</v>
      </c>
      <c r="B163" s="383" t="s">
        <v>1</v>
      </c>
      <c r="C163" s="374">
        <v>226</v>
      </c>
      <c r="D163" s="387" t="s">
        <v>582</v>
      </c>
      <c r="E163" s="384">
        <f t="shared" si="163"/>
        <v>343175.05</v>
      </c>
      <c r="F163" s="384"/>
      <c r="G163" s="384"/>
      <c r="H163" s="384"/>
      <c r="I163" s="384">
        <v>343175.05</v>
      </c>
      <c r="J163" s="384">
        <f t="shared" si="152"/>
        <v>343175.05</v>
      </c>
      <c r="K163" s="384"/>
      <c r="L163" s="384"/>
      <c r="M163" s="384"/>
      <c r="N163" s="384">
        <v>343175.05</v>
      </c>
      <c r="O163" s="384">
        <f t="shared" si="78"/>
        <v>0</v>
      </c>
      <c r="P163" s="384"/>
      <c r="Q163" s="384"/>
      <c r="R163" s="384"/>
      <c r="S163" s="384"/>
      <c r="T163" s="384">
        <f t="shared" si="153"/>
        <v>0</v>
      </c>
      <c r="U163" s="384"/>
      <c r="V163" s="384"/>
      <c r="W163" s="384"/>
      <c r="X163" s="384"/>
      <c r="Y163" s="384">
        <f t="shared" si="156"/>
        <v>0</v>
      </c>
      <c r="Z163" s="384"/>
      <c r="AA163" s="384"/>
      <c r="AB163" s="384"/>
      <c r="AC163" s="386"/>
      <c r="AD163" s="384">
        <f t="shared" si="157"/>
        <v>0</v>
      </c>
      <c r="AE163" s="384"/>
      <c r="AF163" s="384"/>
      <c r="AG163" s="384"/>
      <c r="AH163" s="386"/>
      <c r="AI163" s="384">
        <f t="shared" si="158"/>
        <v>0</v>
      </c>
      <c r="AJ163" s="384"/>
      <c r="AK163" s="384"/>
      <c r="AL163" s="384"/>
      <c r="AM163" s="386"/>
      <c r="AN163" s="384">
        <v>0</v>
      </c>
      <c r="AO163" s="384"/>
      <c r="AP163" s="384"/>
      <c r="AQ163" s="384"/>
      <c r="AR163" s="386"/>
      <c r="AS163" s="384">
        <v>0</v>
      </c>
      <c r="AT163" s="384"/>
      <c r="AU163" s="384"/>
      <c r="AV163" s="384"/>
      <c r="AW163" s="386"/>
      <c r="AX163" s="384">
        <f t="shared" si="159"/>
        <v>0</v>
      </c>
      <c r="AY163" s="384"/>
      <c r="AZ163" s="384"/>
      <c r="BA163" s="384"/>
      <c r="BB163" s="386"/>
      <c r="BC163" s="384">
        <f t="shared" si="162"/>
        <v>0</v>
      </c>
      <c r="BD163" s="384"/>
      <c r="BE163" s="384"/>
      <c r="BF163" s="384"/>
      <c r="BG163" s="384">
        <f t="shared" si="160"/>
        <v>0</v>
      </c>
      <c r="BH163" s="384"/>
      <c r="BI163" s="384"/>
      <c r="BJ163" s="384"/>
      <c r="BK163" s="384"/>
      <c r="BL163" s="384">
        <f t="shared" si="67"/>
        <v>0</v>
      </c>
      <c r="BM163" s="384"/>
      <c r="BN163" s="384"/>
      <c r="BO163" s="384"/>
      <c r="BP163" s="384"/>
      <c r="BQ163" s="384">
        <f t="shared" si="161"/>
        <v>0</v>
      </c>
      <c r="BR163" s="384"/>
      <c r="BS163" s="384"/>
      <c r="BT163" s="384"/>
      <c r="BU163" s="386"/>
      <c r="BV163" s="384">
        <f t="shared" si="155"/>
        <v>0</v>
      </c>
    </row>
    <row r="164" spans="1:74" ht="32.450000000000003" customHeight="1" x14ac:dyDescent="0.25">
      <c r="A164" s="382" t="s">
        <v>98</v>
      </c>
      <c r="B164" s="383" t="s">
        <v>1</v>
      </c>
      <c r="C164" s="374">
        <v>226</v>
      </c>
      <c r="D164" s="387" t="s">
        <v>583</v>
      </c>
      <c r="E164" s="384">
        <f t="shared" si="163"/>
        <v>19641.689999999999</v>
      </c>
      <c r="F164" s="384"/>
      <c r="G164" s="384"/>
      <c r="H164" s="384"/>
      <c r="I164" s="384">
        <v>19641.689999999999</v>
      </c>
      <c r="J164" s="384">
        <f t="shared" si="152"/>
        <v>0</v>
      </c>
      <c r="K164" s="384"/>
      <c r="L164" s="384"/>
      <c r="M164" s="384"/>
      <c r="N164" s="384"/>
      <c r="O164" s="384">
        <f t="shared" si="78"/>
        <v>19641.689999999999</v>
      </c>
      <c r="P164" s="384"/>
      <c r="Q164" s="384"/>
      <c r="R164" s="384"/>
      <c r="S164" s="384">
        <v>19641.689999999999</v>
      </c>
      <c r="T164" s="384">
        <f t="shared" si="153"/>
        <v>0</v>
      </c>
      <c r="U164" s="384"/>
      <c r="V164" s="384"/>
      <c r="W164" s="384"/>
      <c r="X164" s="384"/>
      <c r="Y164" s="384">
        <f t="shared" si="156"/>
        <v>0</v>
      </c>
      <c r="Z164" s="384"/>
      <c r="AA164" s="384"/>
      <c r="AB164" s="384"/>
      <c r="AC164" s="386"/>
      <c r="AD164" s="384">
        <f t="shared" si="157"/>
        <v>0</v>
      </c>
      <c r="AE164" s="384"/>
      <c r="AF164" s="384"/>
      <c r="AG164" s="384"/>
      <c r="AH164" s="386"/>
      <c r="AI164" s="384">
        <f t="shared" si="158"/>
        <v>0</v>
      </c>
      <c r="AJ164" s="384"/>
      <c r="AK164" s="384"/>
      <c r="AL164" s="384"/>
      <c r="AM164" s="386"/>
      <c r="AN164" s="384">
        <v>0</v>
      </c>
      <c r="AO164" s="384"/>
      <c r="AP164" s="384"/>
      <c r="AQ164" s="384"/>
      <c r="AR164" s="386"/>
      <c r="AS164" s="384">
        <v>0</v>
      </c>
      <c r="AT164" s="384"/>
      <c r="AU164" s="384"/>
      <c r="AV164" s="384"/>
      <c r="AW164" s="386"/>
      <c r="AX164" s="384">
        <f t="shared" si="159"/>
        <v>0</v>
      </c>
      <c r="AY164" s="384"/>
      <c r="AZ164" s="384"/>
      <c r="BA164" s="384"/>
      <c r="BB164" s="386"/>
      <c r="BC164" s="384">
        <f t="shared" si="162"/>
        <v>0</v>
      </c>
      <c r="BD164" s="384"/>
      <c r="BE164" s="384"/>
      <c r="BF164" s="384"/>
      <c r="BG164" s="384">
        <f t="shared" si="160"/>
        <v>0</v>
      </c>
      <c r="BH164" s="384"/>
      <c r="BI164" s="384"/>
      <c r="BJ164" s="384"/>
      <c r="BK164" s="384"/>
      <c r="BL164" s="384">
        <f t="shared" ref="BL164:BL173" si="164">BM164+BN164+BO164+BP164</f>
        <v>0</v>
      </c>
      <c r="BM164" s="384"/>
      <c r="BN164" s="384"/>
      <c r="BO164" s="384"/>
      <c r="BP164" s="384"/>
      <c r="BQ164" s="384">
        <f t="shared" si="161"/>
        <v>0</v>
      </c>
      <c r="BR164" s="384"/>
      <c r="BS164" s="384"/>
      <c r="BT164" s="384"/>
      <c r="BU164" s="386"/>
      <c r="BV164" s="384">
        <f t="shared" si="155"/>
        <v>0</v>
      </c>
    </row>
    <row r="165" spans="1:74" ht="40.9" customHeight="1" x14ac:dyDescent="0.25">
      <c r="A165" s="382" t="s">
        <v>99</v>
      </c>
      <c r="B165" s="383" t="s">
        <v>11</v>
      </c>
      <c r="C165" s="374">
        <v>226</v>
      </c>
      <c r="D165" s="387" t="s">
        <v>584</v>
      </c>
      <c r="E165" s="384">
        <f t="shared" si="163"/>
        <v>1493590</v>
      </c>
      <c r="F165" s="384"/>
      <c r="G165" s="384"/>
      <c r="H165" s="384"/>
      <c r="I165" s="384">
        <v>1493590</v>
      </c>
      <c r="J165" s="384">
        <f t="shared" si="152"/>
        <v>0</v>
      </c>
      <c r="K165" s="384"/>
      <c r="L165" s="384"/>
      <c r="M165" s="384"/>
      <c r="N165" s="384"/>
      <c r="O165" s="384">
        <f t="shared" si="78"/>
        <v>1493590</v>
      </c>
      <c r="P165" s="384"/>
      <c r="Q165" s="384"/>
      <c r="R165" s="384"/>
      <c r="S165" s="384">
        <v>1493590</v>
      </c>
      <c r="T165" s="384">
        <f t="shared" si="153"/>
        <v>0</v>
      </c>
      <c r="U165" s="384"/>
      <c r="V165" s="384"/>
      <c r="W165" s="384"/>
      <c r="X165" s="384"/>
      <c r="Y165" s="384">
        <f t="shared" si="156"/>
        <v>0</v>
      </c>
      <c r="Z165" s="384"/>
      <c r="AA165" s="384"/>
      <c r="AB165" s="384"/>
      <c r="AC165" s="386"/>
      <c r="AD165" s="384">
        <f t="shared" si="157"/>
        <v>0</v>
      </c>
      <c r="AE165" s="384"/>
      <c r="AF165" s="384"/>
      <c r="AG165" s="384"/>
      <c r="AH165" s="386"/>
      <c r="AI165" s="384">
        <f t="shared" si="158"/>
        <v>0</v>
      </c>
      <c r="AJ165" s="384"/>
      <c r="AK165" s="384"/>
      <c r="AL165" s="384"/>
      <c r="AM165" s="386"/>
      <c r="AN165" s="384">
        <v>0</v>
      </c>
      <c r="AO165" s="384"/>
      <c r="AP165" s="384"/>
      <c r="AQ165" s="384"/>
      <c r="AR165" s="386"/>
      <c r="AS165" s="384">
        <v>0</v>
      </c>
      <c r="AT165" s="384"/>
      <c r="AU165" s="384"/>
      <c r="AV165" s="384"/>
      <c r="AW165" s="386"/>
      <c r="AX165" s="384">
        <f t="shared" si="159"/>
        <v>0</v>
      </c>
      <c r="AY165" s="384"/>
      <c r="AZ165" s="384"/>
      <c r="BA165" s="384"/>
      <c r="BB165" s="386"/>
      <c r="BC165" s="384">
        <f t="shared" si="162"/>
        <v>0</v>
      </c>
      <c r="BD165" s="384"/>
      <c r="BE165" s="384"/>
      <c r="BF165" s="384"/>
      <c r="BG165" s="384">
        <f t="shared" si="160"/>
        <v>0</v>
      </c>
      <c r="BH165" s="384"/>
      <c r="BI165" s="384"/>
      <c r="BJ165" s="384"/>
      <c r="BK165" s="384"/>
      <c r="BL165" s="384">
        <f t="shared" si="164"/>
        <v>0</v>
      </c>
      <c r="BM165" s="384"/>
      <c r="BN165" s="384"/>
      <c r="BO165" s="384"/>
      <c r="BP165" s="384"/>
      <c r="BQ165" s="384">
        <f t="shared" si="161"/>
        <v>0</v>
      </c>
      <c r="BR165" s="384"/>
      <c r="BS165" s="384"/>
      <c r="BT165" s="384"/>
      <c r="BU165" s="386"/>
      <c r="BV165" s="384">
        <f t="shared" si="155"/>
        <v>0</v>
      </c>
    </row>
    <row r="166" spans="1:74" ht="42.6" customHeight="1" x14ac:dyDescent="0.25">
      <c r="A166" s="382" t="s">
        <v>100</v>
      </c>
      <c r="B166" s="383" t="s">
        <v>20</v>
      </c>
      <c r="C166" s="374">
        <v>226</v>
      </c>
      <c r="D166" s="387" t="s">
        <v>585</v>
      </c>
      <c r="E166" s="384">
        <f t="shared" si="163"/>
        <v>97075.05</v>
      </c>
      <c r="F166" s="384"/>
      <c r="G166" s="384"/>
      <c r="H166" s="384"/>
      <c r="I166" s="384">
        <v>97075.05</v>
      </c>
      <c r="J166" s="384">
        <f t="shared" si="152"/>
        <v>0</v>
      </c>
      <c r="K166" s="384"/>
      <c r="L166" s="384"/>
      <c r="M166" s="384"/>
      <c r="N166" s="384"/>
      <c r="O166" s="384">
        <f t="shared" si="78"/>
        <v>3553.4</v>
      </c>
      <c r="P166" s="384"/>
      <c r="Q166" s="384"/>
      <c r="R166" s="384"/>
      <c r="S166" s="384">
        <v>3553.4</v>
      </c>
      <c r="T166" s="384">
        <f t="shared" si="153"/>
        <v>93521.65</v>
      </c>
      <c r="U166" s="384"/>
      <c r="V166" s="384"/>
      <c r="W166" s="384"/>
      <c r="X166" s="384">
        <v>93521.65</v>
      </c>
      <c r="Y166" s="384">
        <f t="shared" si="156"/>
        <v>0</v>
      </c>
      <c r="Z166" s="384"/>
      <c r="AA166" s="384"/>
      <c r="AB166" s="384"/>
      <c r="AC166" s="386"/>
      <c r="AD166" s="384">
        <f t="shared" si="157"/>
        <v>0</v>
      </c>
      <c r="AE166" s="384"/>
      <c r="AF166" s="384"/>
      <c r="AG166" s="384"/>
      <c r="AH166" s="386"/>
      <c r="AI166" s="384">
        <f t="shared" si="158"/>
        <v>0</v>
      </c>
      <c r="AJ166" s="384"/>
      <c r="AK166" s="384"/>
      <c r="AL166" s="384"/>
      <c r="AM166" s="386"/>
      <c r="AN166" s="384">
        <v>0</v>
      </c>
      <c r="AO166" s="384"/>
      <c r="AP166" s="384"/>
      <c r="AQ166" s="384"/>
      <c r="AR166" s="386"/>
      <c r="AS166" s="384">
        <v>0</v>
      </c>
      <c r="AT166" s="384"/>
      <c r="AU166" s="384"/>
      <c r="AV166" s="384"/>
      <c r="AW166" s="386"/>
      <c r="AX166" s="384">
        <f t="shared" si="159"/>
        <v>0</v>
      </c>
      <c r="AY166" s="384"/>
      <c r="AZ166" s="384"/>
      <c r="BA166" s="384"/>
      <c r="BB166" s="386"/>
      <c r="BC166" s="384">
        <f t="shared" si="162"/>
        <v>1.4551915228366852E-11</v>
      </c>
      <c r="BD166" s="384"/>
      <c r="BE166" s="384"/>
      <c r="BF166" s="384"/>
      <c r="BG166" s="384">
        <f t="shared" si="160"/>
        <v>0</v>
      </c>
      <c r="BH166" s="384"/>
      <c r="BI166" s="384"/>
      <c r="BJ166" s="384"/>
      <c r="BK166" s="384"/>
      <c r="BL166" s="384">
        <f t="shared" si="164"/>
        <v>0</v>
      </c>
      <c r="BM166" s="384"/>
      <c r="BN166" s="384"/>
      <c r="BO166" s="384"/>
      <c r="BP166" s="384"/>
      <c r="BQ166" s="384">
        <f t="shared" si="161"/>
        <v>0</v>
      </c>
      <c r="BR166" s="384"/>
      <c r="BS166" s="384"/>
      <c r="BT166" s="384"/>
      <c r="BU166" s="386"/>
      <c r="BV166" s="384">
        <f t="shared" si="155"/>
        <v>1.4551915228366852E-11</v>
      </c>
    </row>
    <row r="167" spans="1:74" ht="40.15" customHeight="1" x14ac:dyDescent="0.25">
      <c r="A167" s="382" t="s">
        <v>101</v>
      </c>
      <c r="B167" s="383" t="s">
        <v>12</v>
      </c>
      <c r="C167" s="374">
        <v>226</v>
      </c>
      <c r="D167" s="387" t="s">
        <v>586</v>
      </c>
      <c r="E167" s="384">
        <f t="shared" si="163"/>
        <v>222926.3</v>
      </c>
      <c r="F167" s="384"/>
      <c r="G167" s="384"/>
      <c r="H167" s="384"/>
      <c r="I167" s="384">
        <v>222926.3</v>
      </c>
      <c r="J167" s="384">
        <f t="shared" si="152"/>
        <v>0</v>
      </c>
      <c r="K167" s="384"/>
      <c r="L167" s="384"/>
      <c r="M167" s="384"/>
      <c r="N167" s="384"/>
      <c r="O167" s="384">
        <f t="shared" si="78"/>
        <v>66877.89</v>
      </c>
      <c r="P167" s="384"/>
      <c r="Q167" s="384"/>
      <c r="R167" s="384"/>
      <c r="S167" s="384">
        <v>66877.89</v>
      </c>
      <c r="T167" s="384">
        <f t="shared" si="153"/>
        <v>0</v>
      </c>
      <c r="U167" s="384"/>
      <c r="V167" s="384"/>
      <c r="W167" s="384"/>
      <c r="X167" s="384"/>
      <c r="Y167" s="384">
        <f t="shared" si="156"/>
        <v>156048.41</v>
      </c>
      <c r="Z167" s="384"/>
      <c r="AA167" s="384"/>
      <c r="AB167" s="384"/>
      <c r="AC167" s="386">
        <v>156048.41</v>
      </c>
      <c r="AD167" s="384">
        <f t="shared" si="157"/>
        <v>0</v>
      </c>
      <c r="AE167" s="384"/>
      <c r="AF167" s="384"/>
      <c r="AG167" s="384"/>
      <c r="AH167" s="386"/>
      <c r="AI167" s="384">
        <f t="shared" si="158"/>
        <v>0</v>
      </c>
      <c r="AJ167" s="384"/>
      <c r="AK167" s="384"/>
      <c r="AL167" s="384"/>
      <c r="AM167" s="386"/>
      <c r="AN167" s="384">
        <v>0</v>
      </c>
      <c r="AO167" s="384"/>
      <c r="AP167" s="384"/>
      <c r="AQ167" s="384"/>
      <c r="AR167" s="386"/>
      <c r="AS167" s="384">
        <v>0</v>
      </c>
      <c r="AT167" s="384"/>
      <c r="AU167" s="384"/>
      <c r="AV167" s="384"/>
      <c r="AW167" s="386"/>
      <c r="AX167" s="384">
        <f t="shared" si="159"/>
        <v>0</v>
      </c>
      <c r="AY167" s="384"/>
      <c r="AZ167" s="384"/>
      <c r="BA167" s="384"/>
      <c r="BB167" s="386"/>
      <c r="BC167" s="384">
        <f t="shared" si="162"/>
        <v>-2.9103830456733704E-11</v>
      </c>
      <c r="BD167" s="384"/>
      <c r="BE167" s="384"/>
      <c r="BF167" s="384"/>
      <c r="BG167" s="384">
        <f t="shared" si="160"/>
        <v>0</v>
      </c>
      <c r="BH167" s="384"/>
      <c r="BI167" s="384"/>
      <c r="BJ167" s="384"/>
      <c r="BK167" s="384"/>
      <c r="BL167" s="384">
        <f t="shared" si="164"/>
        <v>0</v>
      </c>
      <c r="BM167" s="384"/>
      <c r="BN167" s="384"/>
      <c r="BO167" s="384"/>
      <c r="BP167" s="384"/>
      <c r="BQ167" s="384">
        <f t="shared" si="161"/>
        <v>0</v>
      </c>
      <c r="BR167" s="384"/>
      <c r="BS167" s="384"/>
      <c r="BT167" s="384"/>
      <c r="BU167" s="386"/>
      <c r="BV167" s="384">
        <f t="shared" si="155"/>
        <v>-2.9103830456733704E-11</v>
      </c>
    </row>
    <row r="168" spans="1:74" ht="40.9" customHeight="1" x14ac:dyDescent="0.25">
      <c r="A168" s="382" t="s">
        <v>102</v>
      </c>
      <c r="B168" s="383" t="s">
        <v>13</v>
      </c>
      <c r="C168" s="374">
        <v>226</v>
      </c>
      <c r="D168" s="387" t="s">
        <v>587</v>
      </c>
      <c r="E168" s="384">
        <f t="shared" si="163"/>
        <v>894658.42</v>
      </c>
      <c r="F168" s="384"/>
      <c r="G168" s="384"/>
      <c r="H168" s="384"/>
      <c r="I168" s="384">
        <v>894658.42</v>
      </c>
      <c r="J168" s="384">
        <f t="shared" si="152"/>
        <v>0</v>
      </c>
      <c r="K168" s="384"/>
      <c r="L168" s="384"/>
      <c r="M168" s="384"/>
      <c r="N168" s="384"/>
      <c r="O168" s="384">
        <f t="shared" si="78"/>
        <v>581527.97</v>
      </c>
      <c r="P168" s="384"/>
      <c r="Q168" s="384"/>
      <c r="R168" s="384"/>
      <c r="S168" s="384">
        <v>581527.97</v>
      </c>
      <c r="T168" s="384">
        <f t="shared" si="153"/>
        <v>0</v>
      </c>
      <c r="U168" s="384"/>
      <c r="V168" s="384"/>
      <c r="W168" s="384"/>
      <c r="X168" s="384"/>
      <c r="Y168" s="384">
        <f t="shared" si="156"/>
        <v>313130.45</v>
      </c>
      <c r="Z168" s="384"/>
      <c r="AA168" s="384"/>
      <c r="AB168" s="384"/>
      <c r="AC168" s="386">
        <v>313130.45</v>
      </c>
      <c r="AD168" s="384">
        <f t="shared" si="157"/>
        <v>0</v>
      </c>
      <c r="AE168" s="384"/>
      <c r="AF168" s="384"/>
      <c r="AG168" s="384"/>
      <c r="AH168" s="386"/>
      <c r="AI168" s="384">
        <f t="shared" si="158"/>
        <v>0</v>
      </c>
      <c r="AJ168" s="384"/>
      <c r="AK168" s="384"/>
      <c r="AL168" s="384"/>
      <c r="AM168" s="386"/>
      <c r="AN168" s="384">
        <v>0</v>
      </c>
      <c r="AO168" s="384"/>
      <c r="AP168" s="384"/>
      <c r="AQ168" s="384"/>
      <c r="AR168" s="386"/>
      <c r="AS168" s="384">
        <v>0</v>
      </c>
      <c r="AT168" s="384"/>
      <c r="AU168" s="384"/>
      <c r="AV168" s="384"/>
      <c r="AW168" s="386"/>
      <c r="AX168" s="384">
        <f t="shared" si="159"/>
        <v>0</v>
      </c>
      <c r="AY168" s="384"/>
      <c r="AZ168" s="384"/>
      <c r="BA168" s="384"/>
      <c r="BB168" s="386"/>
      <c r="BC168" s="384">
        <f t="shared" si="162"/>
        <v>5.8207660913467407E-11</v>
      </c>
      <c r="BD168" s="384"/>
      <c r="BE168" s="384"/>
      <c r="BF168" s="384"/>
      <c r="BG168" s="384">
        <f t="shared" si="160"/>
        <v>0</v>
      </c>
      <c r="BH168" s="384"/>
      <c r="BI168" s="384"/>
      <c r="BJ168" s="384"/>
      <c r="BK168" s="384"/>
      <c r="BL168" s="384">
        <f t="shared" si="164"/>
        <v>0</v>
      </c>
      <c r="BM168" s="384"/>
      <c r="BN168" s="384"/>
      <c r="BO168" s="384"/>
      <c r="BP168" s="384"/>
      <c r="BQ168" s="384">
        <f t="shared" si="161"/>
        <v>0</v>
      </c>
      <c r="BR168" s="384"/>
      <c r="BS168" s="384"/>
      <c r="BT168" s="384"/>
      <c r="BU168" s="386"/>
      <c r="BV168" s="384">
        <f t="shared" si="155"/>
        <v>5.8207660913467407E-11</v>
      </c>
    </row>
    <row r="169" spans="1:74" ht="42.6" customHeight="1" x14ac:dyDescent="0.25">
      <c r="A169" s="382" t="s">
        <v>103</v>
      </c>
      <c r="B169" s="383" t="s">
        <v>15</v>
      </c>
      <c r="C169" s="374">
        <v>226</v>
      </c>
      <c r="D169" s="387" t="s">
        <v>588</v>
      </c>
      <c r="E169" s="384">
        <f t="shared" si="163"/>
        <v>977401.46</v>
      </c>
      <c r="F169" s="384"/>
      <c r="G169" s="384"/>
      <c r="H169" s="384"/>
      <c r="I169" s="384">
        <v>977401.46</v>
      </c>
      <c r="J169" s="384">
        <f t="shared" si="152"/>
        <v>0</v>
      </c>
      <c r="K169" s="384"/>
      <c r="L169" s="384"/>
      <c r="M169" s="384"/>
      <c r="N169" s="384"/>
      <c r="O169" s="384">
        <f t="shared" si="78"/>
        <v>0</v>
      </c>
      <c r="P169" s="384"/>
      <c r="Q169" s="384"/>
      <c r="R169" s="384"/>
      <c r="S169" s="384"/>
      <c r="T169" s="384">
        <f t="shared" si="153"/>
        <v>635310.94999999995</v>
      </c>
      <c r="U169" s="384"/>
      <c r="V169" s="384"/>
      <c r="W169" s="384"/>
      <c r="X169" s="384">
        <v>635310.94999999995</v>
      </c>
      <c r="Y169" s="384">
        <f t="shared" si="156"/>
        <v>342090.51</v>
      </c>
      <c r="Z169" s="384"/>
      <c r="AA169" s="384"/>
      <c r="AB169" s="384"/>
      <c r="AC169" s="386">
        <v>342090.51</v>
      </c>
      <c r="AD169" s="384">
        <f t="shared" si="157"/>
        <v>0</v>
      </c>
      <c r="AE169" s="384"/>
      <c r="AF169" s="384"/>
      <c r="AG169" s="384"/>
      <c r="AH169" s="386"/>
      <c r="AI169" s="384">
        <f t="shared" si="158"/>
        <v>0</v>
      </c>
      <c r="AJ169" s="384"/>
      <c r="AK169" s="384"/>
      <c r="AL169" s="384"/>
      <c r="AM169" s="386"/>
      <c r="AN169" s="384">
        <v>0</v>
      </c>
      <c r="AO169" s="384"/>
      <c r="AP169" s="384"/>
      <c r="AQ169" s="384"/>
      <c r="AR169" s="386"/>
      <c r="AS169" s="384">
        <v>0</v>
      </c>
      <c r="AT169" s="384"/>
      <c r="AU169" s="384"/>
      <c r="AV169" s="384"/>
      <c r="AW169" s="386"/>
      <c r="AX169" s="384">
        <f t="shared" si="159"/>
        <v>0</v>
      </c>
      <c r="AY169" s="384"/>
      <c r="AZ169" s="384"/>
      <c r="BA169" s="384"/>
      <c r="BB169" s="386"/>
      <c r="BC169" s="384">
        <f t="shared" si="162"/>
        <v>0</v>
      </c>
      <c r="BD169" s="384"/>
      <c r="BE169" s="384"/>
      <c r="BF169" s="384"/>
      <c r="BG169" s="384">
        <f t="shared" si="160"/>
        <v>0</v>
      </c>
      <c r="BH169" s="384"/>
      <c r="BI169" s="384"/>
      <c r="BJ169" s="384"/>
      <c r="BK169" s="384"/>
      <c r="BL169" s="384">
        <f t="shared" si="164"/>
        <v>0</v>
      </c>
      <c r="BM169" s="384"/>
      <c r="BN169" s="384"/>
      <c r="BO169" s="384"/>
      <c r="BP169" s="384"/>
      <c r="BQ169" s="384">
        <f t="shared" si="161"/>
        <v>0</v>
      </c>
      <c r="BR169" s="384"/>
      <c r="BS169" s="384"/>
      <c r="BT169" s="384"/>
      <c r="BU169" s="386"/>
      <c r="BV169" s="384">
        <f t="shared" si="155"/>
        <v>0</v>
      </c>
    </row>
    <row r="170" spans="1:74" ht="47.45" customHeight="1" x14ac:dyDescent="0.25">
      <c r="A170" s="382" t="s">
        <v>104</v>
      </c>
      <c r="B170" s="383" t="s">
        <v>14</v>
      </c>
      <c r="C170" s="374">
        <v>226</v>
      </c>
      <c r="D170" s="387" t="s">
        <v>601</v>
      </c>
      <c r="E170" s="384">
        <f t="shared" si="163"/>
        <v>2791737.8</v>
      </c>
      <c r="F170" s="384"/>
      <c r="G170" s="384"/>
      <c r="H170" s="384"/>
      <c r="I170" s="384">
        <v>2791737.8</v>
      </c>
      <c r="J170" s="384">
        <f t="shared" si="152"/>
        <v>0</v>
      </c>
      <c r="K170" s="384"/>
      <c r="L170" s="384"/>
      <c r="M170" s="384"/>
      <c r="N170" s="384"/>
      <c r="O170" s="384">
        <f t="shared" si="78"/>
        <v>1814629.57</v>
      </c>
      <c r="P170" s="384"/>
      <c r="Q170" s="384"/>
      <c r="R170" s="384"/>
      <c r="S170" s="384">
        <v>1814629.57</v>
      </c>
      <c r="T170" s="384">
        <f t="shared" si="153"/>
        <v>0</v>
      </c>
      <c r="U170" s="384"/>
      <c r="V170" s="384"/>
      <c r="W170" s="384"/>
      <c r="X170" s="384"/>
      <c r="Y170" s="384">
        <f t="shared" si="156"/>
        <v>977108.23</v>
      </c>
      <c r="Z170" s="384"/>
      <c r="AA170" s="384"/>
      <c r="AB170" s="384"/>
      <c r="AC170" s="386">
        <v>977108.23</v>
      </c>
      <c r="AD170" s="384">
        <f t="shared" si="157"/>
        <v>0</v>
      </c>
      <c r="AE170" s="384"/>
      <c r="AF170" s="384"/>
      <c r="AG170" s="384"/>
      <c r="AH170" s="386"/>
      <c r="AI170" s="384">
        <f t="shared" si="158"/>
        <v>0</v>
      </c>
      <c r="AJ170" s="384"/>
      <c r="AK170" s="384"/>
      <c r="AL170" s="384"/>
      <c r="AM170" s="386"/>
      <c r="AN170" s="384">
        <v>0</v>
      </c>
      <c r="AO170" s="384"/>
      <c r="AP170" s="384"/>
      <c r="AQ170" s="384"/>
      <c r="AR170" s="386"/>
      <c r="AS170" s="384">
        <v>0</v>
      </c>
      <c r="AT170" s="384"/>
      <c r="AU170" s="384"/>
      <c r="AV170" s="384"/>
      <c r="AW170" s="386"/>
      <c r="AX170" s="384">
        <f t="shared" si="159"/>
        <v>0</v>
      </c>
      <c r="AY170" s="384"/>
      <c r="AZ170" s="384"/>
      <c r="BA170" s="384"/>
      <c r="BB170" s="386"/>
      <c r="BC170" s="384">
        <f t="shared" si="162"/>
        <v>-2.3283064365386963E-10</v>
      </c>
      <c r="BD170" s="384"/>
      <c r="BE170" s="384"/>
      <c r="BF170" s="384"/>
      <c r="BG170" s="384">
        <f t="shared" si="160"/>
        <v>0</v>
      </c>
      <c r="BH170" s="384"/>
      <c r="BI170" s="384"/>
      <c r="BJ170" s="384"/>
      <c r="BK170" s="384"/>
      <c r="BL170" s="384">
        <f t="shared" si="164"/>
        <v>0</v>
      </c>
      <c r="BM170" s="384"/>
      <c r="BN170" s="384"/>
      <c r="BO170" s="384"/>
      <c r="BP170" s="384"/>
      <c r="BQ170" s="384">
        <f t="shared" si="161"/>
        <v>0</v>
      </c>
      <c r="BR170" s="384"/>
      <c r="BS170" s="384"/>
      <c r="BT170" s="384"/>
      <c r="BU170" s="386"/>
      <c r="BV170" s="384">
        <f t="shared" si="155"/>
        <v>-2.3283064365386963E-10</v>
      </c>
    </row>
    <row r="171" spans="1:74" ht="37.9" customHeight="1" x14ac:dyDescent="0.25">
      <c r="A171" s="382" t="s">
        <v>105</v>
      </c>
      <c r="B171" s="383" t="s">
        <v>270</v>
      </c>
      <c r="C171" s="374">
        <v>226</v>
      </c>
      <c r="D171" s="387" t="s">
        <v>589</v>
      </c>
      <c r="E171" s="384">
        <f t="shared" si="163"/>
        <v>38084.78</v>
      </c>
      <c r="F171" s="384"/>
      <c r="G171" s="384"/>
      <c r="H171" s="384"/>
      <c r="I171" s="384">
        <v>38084.78</v>
      </c>
      <c r="J171" s="384">
        <f t="shared" si="152"/>
        <v>0</v>
      </c>
      <c r="K171" s="384"/>
      <c r="L171" s="384"/>
      <c r="M171" s="384"/>
      <c r="N171" s="384"/>
      <c r="O171" s="384">
        <f t="shared" si="78"/>
        <v>0</v>
      </c>
      <c r="P171" s="384"/>
      <c r="Q171" s="384"/>
      <c r="R171" s="384"/>
      <c r="S171" s="384"/>
      <c r="T171" s="384">
        <f t="shared" si="153"/>
        <v>0</v>
      </c>
      <c r="U171" s="384"/>
      <c r="V171" s="384"/>
      <c r="W171" s="384"/>
      <c r="X171" s="384"/>
      <c r="Y171" s="384">
        <f t="shared" si="156"/>
        <v>38084.78</v>
      </c>
      <c r="Z171" s="384"/>
      <c r="AA171" s="384"/>
      <c r="AB171" s="384"/>
      <c r="AC171" s="386">
        <v>38084.78</v>
      </c>
      <c r="AD171" s="384">
        <f t="shared" si="157"/>
        <v>0</v>
      </c>
      <c r="AE171" s="384"/>
      <c r="AF171" s="384"/>
      <c r="AG171" s="384"/>
      <c r="AH171" s="386"/>
      <c r="AI171" s="384">
        <f t="shared" si="158"/>
        <v>0</v>
      </c>
      <c r="AJ171" s="384"/>
      <c r="AK171" s="384"/>
      <c r="AL171" s="384"/>
      <c r="AM171" s="386"/>
      <c r="AN171" s="384">
        <v>0</v>
      </c>
      <c r="AO171" s="384"/>
      <c r="AP171" s="384"/>
      <c r="AQ171" s="384"/>
      <c r="AR171" s="386"/>
      <c r="AS171" s="384">
        <v>0</v>
      </c>
      <c r="AT171" s="384"/>
      <c r="AU171" s="384"/>
      <c r="AV171" s="384"/>
      <c r="AW171" s="386"/>
      <c r="AX171" s="384">
        <f t="shared" si="159"/>
        <v>0</v>
      </c>
      <c r="AY171" s="384"/>
      <c r="AZ171" s="384"/>
      <c r="BA171" s="384"/>
      <c r="BB171" s="386"/>
      <c r="BC171" s="384">
        <f t="shared" si="162"/>
        <v>0</v>
      </c>
      <c r="BD171" s="384"/>
      <c r="BE171" s="384"/>
      <c r="BF171" s="384"/>
      <c r="BG171" s="384">
        <f t="shared" si="160"/>
        <v>0</v>
      </c>
      <c r="BH171" s="384"/>
      <c r="BI171" s="384"/>
      <c r="BJ171" s="384"/>
      <c r="BK171" s="384"/>
      <c r="BL171" s="384">
        <f t="shared" si="164"/>
        <v>0</v>
      </c>
      <c r="BM171" s="384"/>
      <c r="BN171" s="384"/>
      <c r="BO171" s="384"/>
      <c r="BP171" s="384"/>
      <c r="BQ171" s="384">
        <f t="shared" si="161"/>
        <v>0</v>
      </c>
      <c r="BR171" s="384"/>
      <c r="BS171" s="384"/>
      <c r="BT171" s="384"/>
      <c r="BU171" s="386"/>
      <c r="BV171" s="384">
        <f t="shared" si="155"/>
        <v>0</v>
      </c>
    </row>
    <row r="172" spans="1:74" ht="45" customHeight="1" x14ac:dyDescent="0.25">
      <c r="A172" s="382" t="s">
        <v>216</v>
      </c>
      <c r="B172" s="383" t="s">
        <v>21</v>
      </c>
      <c r="C172" s="374">
        <v>226</v>
      </c>
      <c r="D172" s="387" t="s">
        <v>590</v>
      </c>
      <c r="E172" s="384">
        <f t="shared" si="163"/>
        <v>99396</v>
      </c>
      <c r="F172" s="384"/>
      <c r="G172" s="384"/>
      <c r="H172" s="384"/>
      <c r="I172" s="384">
        <v>99396</v>
      </c>
      <c r="J172" s="384">
        <f t="shared" si="152"/>
        <v>0</v>
      </c>
      <c r="K172" s="384"/>
      <c r="L172" s="384"/>
      <c r="M172" s="384"/>
      <c r="N172" s="384"/>
      <c r="O172" s="384">
        <f t="shared" si="78"/>
        <v>99396</v>
      </c>
      <c r="P172" s="384"/>
      <c r="Q172" s="384"/>
      <c r="R172" s="384"/>
      <c r="S172" s="384">
        <v>99396</v>
      </c>
      <c r="T172" s="384">
        <f t="shared" si="153"/>
        <v>0</v>
      </c>
      <c r="U172" s="384"/>
      <c r="V172" s="384"/>
      <c r="W172" s="384"/>
      <c r="X172" s="384"/>
      <c r="Y172" s="384">
        <f t="shared" si="156"/>
        <v>0</v>
      </c>
      <c r="Z172" s="384"/>
      <c r="AA172" s="384"/>
      <c r="AB172" s="384"/>
      <c r="AC172" s="386"/>
      <c r="AD172" s="384">
        <f t="shared" si="157"/>
        <v>0</v>
      </c>
      <c r="AE172" s="384"/>
      <c r="AF172" s="384"/>
      <c r="AG172" s="384"/>
      <c r="AH172" s="386"/>
      <c r="AI172" s="384">
        <f t="shared" si="158"/>
        <v>0</v>
      </c>
      <c r="AJ172" s="384"/>
      <c r="AK172" s="384"/>
      <c r="AL172" s="384"/>
      <c r="AM172" s="386"/>
      <c r="AN172" s="384">
        <v>0</v>
      </c>
      <c r="AO172" s="384"/>
      <c r="AP172" s="384"/>
      <c r="AQ172" s="384"/>
      <c r="AR172" s="386"/>
      <c r="AS172" s="384">
        <v>0</v>
      </c>
      <c r="AT172" s="384"/>
      <c r="AU172" s="384"/>
      <c r="AV172" s="384"/>
      <c r="AW172" s="386"/>
      <c r="AX172" s="384">
        <f t="shared" si="159"/>
        <v>0</v>
      </c>
      <c r="AY172" s="384"/>
      <c r="AZ172" s="384"/>
      <c r="BA172" s="384"/>
      <c r="BB172" s="386"/>
      <c r="BC172" s="384">
        <f t="shared" si="162"/>
        <v>0</v>
      </c>
      <c r="BD172" s="384"/>
      <c r="BE172" s="384"/>
      <c r="BF172" s="384"/>
      <c r="BG172" s="384">
        <f t="shared" si="160"/>
        <v>0</v>
      </c>
      <c r="BH172" s="384"/>
      <c r="BI172" s="384"/>
      <c r="BJ172" s="384"/>
      <c r="BK172" s="384"/>
      <c r="BL172" s="384">
        <f t="shared" si="164"/>
        <v>0</v>
      </c>
      <c r="BM172" s="384"/>
      <c r="BN172" s="384"/>
      <c r="BO172" s="384"/>
      <c r="BP172" s="384"/>
      <c r="BQ172" s="384">
        <f t="shared" si="161"/>
        <v>0</v>
      </c>
      <c r="BR172" s="384"/>
      <c r="BS172" s="384"/>
      <c r="BT172" s="384"/>
      <c r="BU172" s="386"/>
      <c r="BV172" s="384">
        <f t="shared" si="155"/>
        <v>0</v>
      </c>
    </row>
    <row r="173" spans="1:74" ht="48" customHeight="1" x14ac:dyDescent="0.25">
      <c r="A173" s="382" t="s">
        <v>251</v>
      </c>
      <c r="B173" s="383" t="s">
        <v>208</v>
      </c>
      <c r="C173" s="374">
        <v>226</v>
      </c>
      <c r="D173" s="387" t="s">
        <v>591</v>
      </c>
      <c r="E173" s="384">
        <f t="shared" si="163"/>
        <v>50130.49</v>
      </c>
      <c r="F173" s="384"/>
      <c r="G173" s="384"/>
      <c r="H173" s="384"/>
      <c r="I173" s="384">
        <v>50130.49</v>
      </c>
      <c r="J173" s="384">
        <f t="shared" si="152"/>
        <v>0</v>
      </c>
      <c r="K173" s="384"/>
      <c r="L173" s="384"/>
      <c r="M173" s="384"/>
      <c r="N173" s="384"/>
      <c r="O173" s="384">
        <f t="shared" si="78"/>
        <v>0</v>
      </c>
      <c r="P173" s="384"/>
      <c r="Q173" s="384"/>
      <c r="R173" s="384"/>
      <c r="S173" s="384"/>
      <c r="T173" s="384">
        <f t="shared" si="153"/>
        <v>50130.49</v>
      </c>
      <c r="U173" s="384"/>
      <c r="V173" s="384"/>
      <c r="W173" s="384"/>
      <c r="X173" s="384">
        <v>50130.49</v>
      </c>
      <c r="Y173" s="384">
        <f t="shared" si="156"/>
        <v>0</v>
      </c>
      <c r="Z173" s="384"/>
      <c r="AA173" s="384"/>
      <c r="AB173" s="384"/>
      <c r="AC173" s="386"/>
      <c r="AD173" s="384">
        <f t="shared" si="157"/>
        <v>0</v>
      </c>
      <c r="AE173" s="384"/>
      <c r="AF173" s="384"/>
      <c r="AG173" s="384"/>
      <c r="AH173" s="386"/>
      <c r="AI173" s="384">
        <f t="shared" si="158"/>
        <v>0</v>
      </c>
      <c r="AJ173" s="384"/>
      <c r="AK173" s="384"/>
      <c r="AL173" s="384"/>
      <c r="AM173" s="386"/>
      <c r="AN173" s="384">
        <v>0</v>
      </c>
      <c r="AO173" s="384"/>
      <c r="AP173" s="384"/>
      <c r="AQ173" s="384"/>
      <c r="AR173" s="386"/>
      <c r="AS173" s="384">
        <v>0</v>
      </c>
      <c r="AT173" s="384"/>
      <c r="AU173" s="384"/>
      <c r="AV173" s="384"/>
      <c r="AW173" s="386"/>
      <c r="AX173" s="384">
        <f t="shared" si="159"/>
        <v>0</v>
      </c>
      <c r="AY173" s="384"/>
      <c r="AZ173" s="384"/>
      <c r="BA173" s="384"/>
      <c r="BB173" s="386"/>
      <c r="BC173" s="384">
        <f t="shared" si="162"/>
        <v>0</v>
      </c>
      <c r="BD173" s="384"/>
      <c r="BE173" s="384"/>
      <c r="BF173" s="384"/>
      <c r="BG173" s="384">
        <f t="shared" si="160"/>
        <v>0</v>
      </c>
      <c r="BH173" s="384"/>
      <c r="BI173" s="384"/>
      <c r="BJ173" s="384"/>
      <c r="BK173" s="384"/>
      <c r="BL173" s="384">
        <f t="shared" si="164"/>
        <v>0</v>
      </c>
      <c r="BM173" s="384"/>
      <c r="BN173" s="384"/>
      <c r="BO173" s="384"/>
      <c r="BP173" s="384"/>
      <c r="BQ173" s="384">
        <f t="shared" si="161"/>
        <v>0</v>
      </c>
      <c r="BR173" s="384"/>
      <c r="BS173" s="384"/>
      <c r="BT173" s="384"/>
      <c r="BU173" s="386"/>
      <c r="BV173" s="384">
        <f t="shared" si="155"/>
        <v>0</v>
      </c>
    </row>
    <row r="174" spans="1:74" ht="37.15" customHeight="1" x14ac:dyDescent="0.25">
      <c r="A174" s="382" t="s">
        <v>421</v>
      </c>
      <c r="B174" s="388" t="s">
        <v>248</v>
      </c>
      <c r="C174" s="377">
        <v>226</v>
      </c>
      <c r="D174" s="390" t="s">
        <v>509</v>
      </c>
      <c r="E174" s="384">
        <f>F174+G174+H174+I174</f>
        <v>1239</v>
      </c>
      <c r="F174" s="384"/>
      <c r="G174" s="384"/>
      <c r="H174" s="384"/>
      <c r="I174" s="384">
        <v>1239</v>
      </c>
      <c r="J174" s="384">
        <f>K174+L174+M174+N174</f>
        <v>0</v>
      </c>
      <c r="K174" s="384"/>
      <c r="L174" s="384"/>
      <c r="M174" s="384"/>
      <c r="N174" s="384"/>
      <c r="O174" s="384">
        <f>P174+Q174+R174+S174</f>
        <v>0</v>
      </c>
      <c r="P174" s="384"/>
      <c r="Q174" s="384"/>
      <c r="R174" s="384"/>
      <c r="S174" s="384"/>
      <c r="T174" s="384">
        <f>U174+V174+W174+X174</f>
        <v>1239</v>
      </c>
      <c r="U174" s="384"/>
      <c r="V174" s="384"/>
      <c r="W174" s="384"/>
      <c r="X174" s="384">
        <v>1239</v>
      </c>
      <c r="Y174" s="384">
        <f>SUM(Z174:AC174)</f>
        <v>0</v>
      </c>
      <c r="Z174" s="384"/>
      <c r="AA174" s="384"/>
      <c r="AB174" s="384"/>
      <c r="AC174" s="386"/>
      <c r="AD174" s="384">
        <f>SUM(AE174:AH174)</f>
        <v>0</v>
      </c>
      <c r="AE174" s="384"/>
      <c r="AF174" s="384"/>
      <c r="AG174" s="384"/>
      <c r="AH174" s="386"/>
      <c r="AI174" s="384">
        <f>SUM(AJ174:AM174)</f>
        <v>0</v>
      </c>
      <c r="AJ174" s="384"/>
      <c r="AK174" s="384"/>
      <c r="AL174" s="384"/>
      <c r="AM174" s="386"/>
      <c r="AN174" s="384">
        <v>0</v>
      </c>
      <c r="AO174" s="384"/>
      <c r="AP174" s="384"/>
      <c r="AQ174" s="384"/>
      <c r="AR174" s="386"/>
      <c r="AS174" s="384">
        <v>0</v>
      </c>
      <c r="AT174" s="384"/>
      <c r="AU174" s="384"/>
      <c r="AV174" s="384"/>
      <c r="AW174" s="386"/>
      <c r="AX174" s="384">
        <f>SUM(AY174:BB174)</f>
        <v>0</v>
      </c>
      <c r="AY174" s="384"/>
      <c r="AZ174" s="384"/>
      <c r="BA174" s="384"/>
      <c r="BB174" s="386"/>
      <c r="BC174" s="384">
        <f t="shared" si="162"/>
        <v>0</v>
      </c>
      <c r="BD174" s="384"/>
      <c r="BE174" s="384"/>
      <c r="BF174" s="384"/>
      <c r="BG174" s="384">
        <f>SUM(BH174:BK174)</f>
        <v>0</v>
      </c>
      <c r="BH174" s="384"/>
      <c r="BI174" s="384"/>
      <c r="BJ174" s="384"/>
      <c r="BK174" s="384"/>
      <c r="BL174" s="384">
        <f>BM174+BN174+BO174+BP174</f>
        <v>0</v>
      </c>
      <c r="BM174" s="384"/>
      <c r="BN174" s="384"/>
      <c r="BO174" s="384"/>
      <c r="BP174" s="384"/>
      <c r="BQ174" s="384">
        <f>SUM(BR174:BU174)</f>
        <v>0</v>
      </c>
      <c r="BR174" s="384"/>
      <c r="BS174" s="384"/>
      <c r="BT174" s="384"/>
      <c r="BU174" s="386"/>
      <c r="BV174" s="384">
        <f t="shared" si="155"/>
        <v>0</v>
      </c>
    </row>
    <row r="175" spans="1:74" ht="222.6" customHeight="1" x14ac:dyDescent="0.25">
      <c r="A175" s="382" t="s">
        <v>485</v>
      </c>
      <c r="B175" s="388" t="s">
        <v>458</v>
      </c>
      <c r="C175" s="377">
        <v>226</v>
      </c>
      <c r="D175" s="390" t="s">
        <v>693</v>
      </c>
      <c r="E175" s="384">
        <f>F175+G175+H175+I175</f>
        <v>34550.550000000003</v>
      </c>
      <c r="F175" s="384"/>
      <c r="G175" s="384"/>
      <c r="H175" s="384"/>
      <c r="I175" s="384">
        <v>34550.550000000003</v>
      </c>
      <c r="J175" s="384">
        <f>K175+L175+M175+N175</f>
        <v>0</v>
      </c>
      <c r="K175" s="384"/>
      <c r="L175" s="384"/>
      <c r="M175" s="384"/>
      <c r="N175" s="384"/>
      <c r="O175" s="384">
        <f>P175+Q175+R175+S175</f>
        <v>0</v>
      </c>
      <c r="P175" s="384"/>
      <c r="Q175" s="384"/>
      <c r="R175" s="384"/>
      <c r="S175" s="384"/>
      <c r="T175" s="384">
        <f>U175+V175+W175+X175</f>
        <v>0</v>
      </c>
      <c r="U175" s="384"/>
      <c r="V175" s="384"/>
      <c r="W175" s="384"/>
      <c r="X175" s="384"/>
      <c r="Y175" s="384">
        <f>SUM(Z175:AC175)</f>
        <v>0</v>
      </c>
      <c r="Z175" s="384"/>
      <c r="AA175" s="384"/>
      <c r="AB175" s="384"/>
      <c r="AC175" s="386"/>
      <c r="AD175" s="407">
        <f>SUM(AE175:AH175)</f>
        <v>34550.550000000003</v>
      </c>
      <c r="AE175" s="384"/>
      <c r="AF175" s="384"/>
      <c r="AG175" s="384"/>
      <c r="AH175" s="386">
        <v>34550.550000000003</v>
      </c>
      <c r="AI175" s="384">
        <f>SUM(AJ175:AM175)</f>
        <v>0</v>
      </c>
      <c r="AJ175" s="384"/>
      <c r="AK175" s="384"/>
      <c r="AL175" s="384"/>
      <c r="AM175" s="386"/>
      <c r="AN175" s="384">
        <v>0</v>
      </c>
      <c r="AO175" s="384"/>
      <c r="AP175" s="384"/>
      <c r="AQ175" s="384"/>
      <c r="AR175" s="386"/>
      <c r="AS175" s="384">
        <v>0</v>
      </c>
      <c r="AT175" s="384"/>
      <c r="AU175" s="384"/>
      <c r="AV175" s="384"/>
      <c r="AW175" s="386"/>
      <c r="AX175" s="384">
        <f>SUM(AY175:BB175)</f>
        <v>0</v>
      </c>
      <c r="AY175" s="384"/>
      <c r="AZ175" s="384"/>
      <c r="BA175" s="384"/>
      <c r="BB175" s="386"/>
      <c r="BC175" s="384">
        <f t="shared" si="162"/>
        <v>0</v>
      </c>
      <c r="BD175" s="384"/>
      <c r="BE175" s="384"/>
      <c r="BF175" s="384"/>
      <c r="BG175" s="384">
        <f>SUM(BH175:BK175)</f>
        <v>0</v>
      </c>
      <c r="BH175" s="384"/>
      <c r="BI175" s="384"/>
      <c r="BJ175" s="384"/>
      <c r="BK175" s="384"/>
      <c r="BL175" s="384">
        <f>BM175+BN175+BO175+BP175</f>
        <v>0</v>
      </c>
      <c r="BM175" s="384"/>
      <c r="BN175" s="384"/>
      <c r="BO175" s="384"/>
      <c r="BP175" s="384"/>
      <c r="BQ175" s="384">
        <f>SUM(BR175:BU175)</f>
        <v>0</v>
      </c>
      <c r="BR175" s="384"/>
      <c r="BS175" s="384"/>
      <c r="BT175" s="384"/>
      <c r="BU175" s="386"/>
      <c r="BV175" s="384">
        <f t="shared" si="155"/>
        <v>0</v>
      </c>
    </row>
    <row r="176" spans="1:74" ht="45.6" customHeight="1" x14ac:dyDescent="0.25">
      <c r="A176" s="382" t="s">
        <v>457</v>
      </c>
      <c r="B176" s="388" t="s">
        <v>484</v>
      </c>
      <c r="C176" s="377">
        <v>226</v>
      </c>
      <c r="D176" s="390" t="s">
        <v>592</v>
      </c>
      <c r="E176" s="384">
        <f>F176+G176+H176+I176</f>
        <v>199988.99</v>
      </c>
      <c r="F176" s="384"/>
      <c r="G176" s="384"/>
      <c r="H176" s="384"/>
      <c r="I176" s="384">
        <v>199988.99</v>
      </c>
      <c r="J176" s="384">
        <f>K176+L176+M176+N176</f>
        <v>0</v>
      </c>
      <c r="K176" s="384"/>
      <c r="L176" s="384"/>
      <c r="M176" s="384"/>
      <c r="N176" s="384"/>
      <c r="O176" s="384">
        <f>P176+Q176+R176+S176</f>
        <v>0</v>
      </c>
      <c r="P176" s="384"/>
      <c r="Q176" s="384"/>
      <c r="R176" s="384"/>
      <c r="S176" s="384"/>
      <c r="T176" s="384">
        <f>U176+V176+W176+X176</f>
        <v>0</v>
      </c>
      <c r="U176" s="384"/>
      <c r="V176" s="384"/>
      <c r="W176" s="384"/>
      <c r="X176" s="384"/>
      <c r="Y176" s="384">
        <f>Z176+AA176+AB176+AC176</f>
        <v>0</v>
      </c>
      <c r="Z176" s="384"/>
      <c r="AA176" s="384"/>
      <c r="AB176" s="384"/>
      <c r="AC176" s="386"/>
      <c r="AD176" s="384">
        <f t="shared" ref="AD176" si="165">SUM(AE176:AH176)</f>
        <v>0</v>
      </c>
      <c r="AE176" s="384"/>
      <c r="AF176" s="384"/>
      <c r="AG176" s="384"/>
      <c r="AH176" s="386"/>
      <c r="AI176" s="384">
        <f>SUM(AJ176:AM176)</f>
        <v>199988.99</v>
      </c>
      <c r="AJ176" s="384"/>
      <c r="AK176" s="384"/>
      <c r="AL176" s="384"/>
      <c r="AM176" s="386">
        <v>199988.99</v>
      </c>
      <c r="AN176" s="384">
        <v>0</v>
      </c>
      <c r="AO176" s="384"/>
      <c r="AP176" s="384"/>
      <c r="AQ176" s="384"/>
      <c r="AR176" s="386"/>
      <c r="AS176" s="384">
        <v>0</v>
      </c>
      <c r="AT176" s="384"/>
      <c r="AU176" s="384"/>
      <c r="AV176" s="384"/>
      <c r="AW176" s="386"/>
      <c r="AX176" s="384">
        <f>SUM(AY176:BB176)</f>
        <v>0</v>
      </c>
      <c r="AY176" s="384"/>
      <c r="AZ176" s="384"/>
      <c r="BA176" s="384"/>
      <c r="BB176" s="386"/>
      <c r="BC176" s="384">
        <f t="shared" si="162"/>
        <v>0</v>
      </c>
      <c r="BD176" s="384"/>
      <c r="BE176" s="384"/>
      <c r="BF176" s="384"/>
      <c r="BG176" s="384">
        <f t="shared" ref="BG176" si="166">SUM(BH176:BK176)</f>
        <v>0</v>
      </c>
      <c r="BH176" s="384"/>
      <c r="BI176" s="384"/>
      <c r="BJ176" s="384"/>
      <c r="BK176" s="384"/>
      <c r="BL176" s="384">
        <f>BM176+BN176+BO176+BP176</f>
        <v>0</v>
      </c>
      <c r="BM176" s="384"/>
      <c r="BN176" s="384"/>
      <c r="BO176" s="384"/>
      <c r="BP176" s="384"/>
      <c r="BQ176" s="384">
        <f>SUM(BR176:BU176)</f>
        <v>0</v>
      </c>
      <c r="BR176" s="384"/>
      <c r="BS176" s="384"/>
      <c r="BT176" s="384"/>
      <c r="BU176" s="386"/>
      <c r="BV176" s="384">
        <f t="shared" si="155"/>
        <v>0</v>
      </c>
    </row>
    <row r="177" spans="1:74" ht="82.9" customHeight="1" x14ac:dyDescent="0.25">
      <c r="A177" s="382" t="s">
        <v>475</v>
      </c>
      <c r="B177" s="388" t="s">
        <v>464</v>
      </c>
      <c r="C177" s="377">
        <v>223</v>
      </c>
      <c r="D177" s="390" t="s">
        <v>566</v>
      </c>
      <c r="E177" s="384">
        <f>F177+G177+H177+I177</f>
        <v>93621.74</v>
      </c>
      <c r="F177" s="384"/>
      <c r="G177" s="384"/>
      <c r="H177" s="384"/>
      <c r="I177" s="384">
        <v>93621.74</v>
      </c>
      <c r="J177" s="384">
        <f t="shared" ref="J177" si="167">K177+L177+M177+N177</f>
        <v>0</v>
      </c>
      <c r="K177" s="384"/>
      <c r="L177" s="384"/>
      <c r="M177" s="384"/>
      <c r="N177" s="384"/>
      <c r="O177" s="384">
        <f t="shared" ref="O177" si="168">P177+Q177+R177+S177</f>
        <v>0</v>
      </c>
      <c r="P177" s="384"/>
      <c r="Q177" s="384"/>
      <c r="R177" s="384"/>
      <c r="S177" s="384"/>
      <c r="T177" s="384">
        <f t="shared" ref="T177" si="169">U177+V177+W177+X177</f>
        <v>0</v>
      </c>
      <c r="U177" s="384"/>
      <c r="V177" s="384"/>
      <c r="W177" s="384"/>
      <c r="X177" s="384"/>
      <c r="Y177" s="384">
        <f t="shared" ref="Y177" si="170">Z177+AA177+AB177+AC177</f>
        <v>0</v>
      </c>
      <c r="Z177" s="384"/>
      <c r="AA177" s="384"/>
      <c r="AB177" s="384"/>
      <c r="AC177" s="386"/>
      <c r="AD177" s="384">
        <f t="shared" ref="AD177" si="171">SUM(AE177:AH177)</f>
        <v>0</v>
      </c>
      <c r="AE177" s="384"/>
      <c r="AF177" s="384"/>
      <c r="AG177" s="384"/>
      <c r="AH177" s="386">
        <v>0</v>
      </c>
      <c r="AI177" s="384">
        <f t="shared" ref="AI177" si="172">SUM(AJ177:AM177)</f>
        <v>93621.74</v>
      </c>
      <c r="AJ177" s="384"/>
      <c r="AK177" s="384"/>
      <c r="AL177" s="384"/>
      <c r="AM177" s="386">
        <v>93621.74</v>
      </c>
      <c r="AN177" s="384">
        <v>0</v>
      </c>
      <c r="AO177" s="384"/>
      <c r="AP177" s="384"/>
      <c r="AQ177" s="384"/>
      <c r="AR177" s="386"/>
      <c r="AS177" s="384">
        <v>0</v>
      </c>
      <c r="AT177" s="384"/>
      <c r="AU177" s="384"/>
      <c r="AV177" s="384"/>
      <c r="AW177" s="386"/>
      <c r="AX177" s="384">
        <f t="shared" ref="AX177" si="173">SUM(AY177:BB177)</f>
        <v>0</v>
      </c>
      <c r="AY177" s="384"/>
      <c r="AZ177" s="384"/>
      <c r="BA177" s="384"/>
      <c r="BB177" s="386"/>
      <c r="BC177" s="384">
        <f t="shared" si="162"/>
        <v>0</v>
      </c>
      <c r="BD177" s="384"/>
      <c r="BE177" s="384"/>
      <c r="BF177" s="384"/>
      <c r="BG177" s="384">
        <f>SUM(BH177:BK177)</f>
        <v>0</v>
      </c>
      <c r="BH177" s="384"/>
      <c r="BI177" s="384"/>
      <c r="BJ177" s="384"/>
      <c r="BK177" s="384"/>
      <c r="BL177" s="384">
        <f t="shared" ref="BL177" si="174">BM177+BN177+BO177+BP177</f>
        <v>0</v>
      </c>
      <c r="BM177" s="384"/>
      <c r="BN177" s="384"/>
      <c r="BO177" s="384"/>
      <c r="BP177" s="384"/>
      <c r="BQ177" s="384">
        <f t="shared" ref="BQ177" si="175">SUM(BR177:BU177)</f>
        <v>0</v>
      </c>
      <c r="BR177" s="384"/>
      <c r="BS177" s="384"/>
      <c r="BT177" s="384"/>
      <c r="BU177" s="386"/>
      <c r="BV177" s="384">
        <f t="shared" si="155"/>
        <v>0</v>
      </c>
    </row>
    <row r="178" spans="1:74" ht="43.15" customHeight="1" x14ac:dyDescent="0.25">
      <c r="A178" s="382" t="s">
        <v>39</v>
      </c>
      <c r="B178" s="391" t="s">
        <v>761</v>
      </c>
      <c r="C178" s="374"/>
      <c r="D178" s="387"/>
      <c r="E178" s="384">
        <f>SUM(E180:E198)</f>
        <v>90165777.789999992</v>
      </c>
      <c r="F178" s="384">
        <f t="shared" ref="F178:BV178" si="176">SUM(F180:F198)</f>
        <v>15890836</v>
      </c>
      <c r="G178" s="384">
        <f t="shared" si="176"/>
        <v>36183848.839999996</v>
      </c>
      <c r="H178" s="384">
        <f t="shared" si="176"/>
        <v>4418624.1700000009</v>
      </c>
      <c r="I178" s="384">
        <f t="shared" si="176"/>
        <v>33672468.780000001</v>
      </c>
      <c r="J178" s="384">
        <f t="shared" si="176"/>
        <v>348175.05</v>
      </c>
      <c r="K178" s="384">
        <f t="shared" si="176"/>
        <v>0</v>
      </c>
      <c r="L178" s="384">
        <f t="shared" si="176"/>
        <v>0</v>
      </c>
      <c r="M178" s="384">
        <f t="shared" si="176"/>
        <v>0</v>
      </c>
      <c r="N178" s="384">
        <f t="shared" si="176"/>
        <v>348175.05</v>
      </c>
      <c r="O178" s="384">
        <f t="shared" si="176"/>
        <v>9415715.6600000001</v>
      </c>
      <c r="P178" s="384">
        <f t="shared" si="176"/>
        <v>1232631.49</v>
      </c>
      <c r="Q178" s="384">
        <f t="shared" si="176"/>
        <v>2980344.8</v>
      </c>
      <c r="R178" s="384">
        <f t="shared" si="176"/>
        <v>357403.71</v>
      </c>
      <c r="S178" s="384">
        <f t="shared" si="176"/>
        <v>4845335.66</v>
      </c>
      <c r="T178" s="384">
        <f t="shared" si="176"/>
        <v>49228750.740000002</v>
      </c>
      <c r="U178" s="384">
        <f t="shared" si="176"/>
        <v>13034768.640000001</v>
      </c>
      <c r="V178" s="384">
        <f t="shared" si="176"/>
        <v>31516398.280000001</v>
      </c>
      <c r="W178" s="384">
        <f t="shared" si="176"/>
        <v>3779454.59</v>
      </c>
      <c r="X178" s="384">
        <f t="shared" si="176"/>
        <v>898129.23</v>
      </c>
      <c r="Y178" s="384">
        <f t="shared" si="176"/>
        <v>29223207.109999999</v>
      </c>
      <c r="Z178" s="384">
        <f t="shared" si="176"/>
        <v>1623435.8699999999</v>
      </c>
      <c r="AA178" s="384">
        <f t="shared" si="176"/>
        <v>1687105.76</v>
      </c>
      <c r="AB178" s="384">
        <f t="shared" si="176"/>
        <v>281765.87</v>
      </c>
      <c r="AC178" s="384">
        <f t="shared" si="176"/>
        <v>25630899.609999999</v>
      </c>
      <c r="AD178" s="384">
        <f t="shared" si="176"/>
        <v>1113708.8700000001</v>
      </c>
      <c r="AE178" s="384">
        <f t="shared" si="176"/>
        <v>0</v>
      </c>
      <c r="AF178" s="384">
        <f t="shared" si="176"/>
        <v>0</v>
      </c>
      <c r="AG178" s="384">
        <f t="shared" si="176"/>
        <v>0</v>
      </c>
      <c r="AH178" s="384">
        <f t="shared" si="176"/>
        <v>1113708.8700000001</v>
      </c>
      <c r="AI178" s="384">
        <f t="shared" si="176"/>
        <v>823301.57</v>
      </c>
      <c r="AJ178" s="384">
        <f t="shared" si="176"/>
        <v>0</v>
      </c>
      <c r="AK178" s="384">
        <f t="shared" si="176"/>
        <v>0</v>
      </c>
      <c r="AL178" s="384">
        <f t="shared" si="176"/>
        <v>0</v>
      </c>
      <c r="AM178" s="384">
        <f t="shared" si="176"/>
        <v>823301.57</v>
      </c>
      <c r="AN178" s="384">
        <v>0</v>
      </c>
      <c r="AO178" s="384">
        <v>0</v>
      </c>
      <c r="AP178" s="384">
        <v>0</v>
      </c>
      <c r="AQ178" s="384">
        <v>0</v>
      </c>
      <c r="AR178" s="384">
        <v>0</v>
      </c>
      <c r="AS178" s="384">
        <v>0</v>
      </c>
      <c r="AT178" s="384">
        <v>0</v>
      </c>
      <c r="AU178" s="384">
        <v>0</v>
      </c>
      <c r="AV178" s="384">
        <v>0</v>
      </c>
      <c r="AW178" s="384">
        <v>0</v>
      </c>
      <c r="AX178" s="384">
        <f t="shared" ref="AX178:BB178" si="177">SUM(AX180:AX198)</f>
        <v>0</v>
      </c>
      <c r="AY178" s="384">
        <f t="shared" si="177"/>
        <v>0</v>
      </c>
      <c r="AZ178" s="384">
        <f t="shared" si="177"/>
        <v>0</v>
      </c>
      <c r="BA178" s="384">
        <f t="shared" si="177"/>
        <v>0</v>
      </c>
      <c r="BB178" s="384">
        <f t="shared" si="177"/>
        <v>0</v>
      </c>
      <c r="BC178" s="384">
        <f t="shared" si="176"/>
        <v>12918.790000004345</v>
      </c>
      <c r="BD178" s="384">
        <f>BD179</f>
        <v>1602.93</v>
      </c>
      <c r="BE178" s="384">
        <f t="shared" ref="BE178:BF178" si="178">BE179</f>
        <v>1655</v>
      </c>
      <c r="BF178" s="384">
        <f t="shared" si="178"/>
        <v>1816.3</v>
      </c>
      <c r="BG178" s="384">
        <f t="shared" si="176"/>
        <v>0</v>
      </c>
      <c r="BH178" s="384">
        <f t="shared" si="176"/>
        <v>0</v>
      </c>
      <c r="BI178" s="384">
        <f t="shared" si="176"/>
        <v>0</v>
      </c>
      <c r="BJ178" s="384">
        <f t="shared" si="176"/>
        <v>0</v>
      </c>
      <c r="BK178" s="384">
        <f t="shared" si="176"/>
        <v>0</v>
      </c>
      <c r="BL178" s="384">
        <f t="shared" si="176"/>
        <v>12918.789999999979</v>
      </c>
      <c r="BM178" s="384">
        <f t="shared" si="176"/>
        <v>0</v>
      </c>
      <c r="BN178" s="384">
        <f t="shared" si="176"/>
        <v>0</v>
      </c>
      <c r="BO178" s="384">
        <f t="shared" si="176"/>
        <v>0</v>
      </c>
      <c r="BP178" s="384">
        <f t="shared" si="176"/>
        <v>12918.789999999979</v>
      </c>
      <c r="BQ178" s="384">
        <f t="shared" si="176"/>
        <v>0</v>
      </c>
      <c r="BR178" s="384">
        <f t="shared" si="176"/>
        <v>0</v>
      </c>
      <c r="BS178" s="384">
        <f t="shared" si="176"/>
        <v>0</v>
      </c>
      <c r="BT178" s="384">
        <f t="shared" si="176"/>
        <v>0</v>
      </c>
      <c r="BU178" s="384">
        <f t="shared" si="176"/>
        <v>0</v>
      </c>
      <c r="BV178" s="384">
        <f t="shared" si="176"/>
        <v>12918.790000004345</v>
      </c>
    </row>
    <row r="179" spans="1:74" ht="134.44999999999999" customHeight="1" x14ac:dyDescent="0.25">
      <c r="A179" s="393" t="s">
        <v>106</v>
      </c>
      <c r="B179" s="383" t="s">
        <v>32</v>
      </c>
      <c r="C179" s="366">
        <v>310</v>
      </c>
      <c r="D179" s="394" t="s">
        <v>593</v>
      </c>
      <c r="E179" s="395">
        <f t="shared" ref="E179:X179" si="179">SUM(E180:E181)</f>
        <v>81637190.850000009</v>
      </c>
      <c r="F179" s="395">
        <f t="shared" si="179"/>
        <v>15890836</v>
      </c>
      <c r="G179" s="395">
        <f t="shared" si="179"/>
        <v>36183848.839999996</v>
      </c>
      <c r="H179" s="395">
        <f t="shared" si="179"/>
        <v>4418624.1700000009</v>
      </c>
      <c r="I179" s="395">
        <f t="shared" si="179"/>
        <v>25143881.84</v>
      </c>
      <c r="J179" s="384">
        <f t="shared" ref="J179:J198" si="180">K179+L179+M179+N179</f>
        <v>0</v>
      </c>
      <c r="K179" s="395"/>
      <c r="L179" s="395"/>
      <c r="M179" s="395"/>
      <c r="N179" s="395"/>
      <c r="O179" s="384">
        <f t="shared" si="78"/>
        <v>4570380</v>
      </c>
      <c r="P179" s="395">
        <f t="shared" si="179"/>
        <v>1232631.49</v>
      </c>
      <c r="Q179" s="395">
        <f t="shared" si="179"/>
        <v>2980344.8</v>
      </c>
      <c r="R179" s="395">
        <f t="shared" si="179"/>
        <v>357403.71</v>
      </c>
      <c r="S179" s="395"/>
      <c r="T179" s="384">
        <f t="shared" ref="T179:T198" si="181">U179+V179+W179+X179</f>
        <v>48330621.510000005</v>
      </c>
      <c r="U179" s="395">
        <f t="shared" si="179"/>
        <v>13034768.640000001</v>
      </c>
      <c r="V179" s="395">
        <f t="shared" si="179"/>
        <v>31516398.280000001</v>
      </c>
      <c r="W179" s="395">
        <f t="shared" si="179"/>
        <v>3779454.59</v>
      </c>
      <c r="X179" s="395">
        <f t="shared" si="179"/>
        <v>0</v>
      </c>
      <c r="Y179" s="384">
        <f>SUM(Y180:Y181)</f>
        <v>27912887.77</v>
      </c>
      <c r="Z179" s="384">
        <f>SUM(Z180:Z181)</f>
        <v>1623435.8699999999</v>
      </c>
      <c r="AA179" s="384">
        <f>SUM(AA180:AA181)</f>
        <v>1687105.76</v>
      </c>
      <c r="AB179" s="384">
        <f>SUM(AB180:AB181)</f>
        <v>281765.87</v>
      </c>
      <c r="AC179" s="386">
        <f>SUM(AC180:AC181)</f>
        <v>24320580.27</v>
      </c>
      <c r="AD179" s="384">
        <f t="shared" ref="AD179:AI179" si="182">SUM(AD180:AD181)</f>
        <v>0</v>
      </c>
      <c r="AE179" s="384">
        <f t="shared" si="182"/>
        <v>0</v>
      </c>
      <c r="AF179" s="384">
        <f t="shared" si="182"/>
        <v>0</v>
      </c>
      <c r="AG179" s="384">
        <f t="shared" si="182"/>
        <v>0</v>
      </c>
      <c r="AH179" s="386">
        <f t="shared" si="182"/>
        <v>0</v>
      </c>
      <c r="AI179" s="384">
        <f t="shared" si="182"/>
        <v>823301.57</v>
      </c>
      <c r="AJ179" s="384">
        <v>0</v>
      </c>
      <c r="AK179" s="384">
        <v>0</v>
      </c>
      <c r="AL179" s="384">
        <v>0</v>
      </c>
      <c r="AM179" s="386">
        <v>823301.57</v>
      </c>
      <c r="AN179" s="384">
        <v>0</v>
      </c>
      <c r="AO179" s="384"/>
      <c r="AP179" s="384"/>
      <c r="AQ179" s="384"/>
      <c r="AR179" s="386"/>
      <c r="AS179" s="384">
        <v>0</v>
      </c>
      <c r="AT179" s="384"/>
      <c r="AU179" s="384"/>
      <c r="AV179" s="384"/>
      <c r="AW179" s="386"/>
      <c r="AX179" s="384">
        <f t="shared" ref="AX179" si="183">SUM(AX180:AX181)</f>
        <v>0</v>
      </c>
      <c r="AY179" s="384"/>
      <c r="AZ179" s="384"/>
      <c r="BA179" s="384"/>
      <c r="BB179" s="386"/>
      <c r="BC179" s="384">
        <f>SUM(BC180:BC181)</f>
        <v>4.0745362639427185E-9</v>
      </c>
      <c r="BD179" s="384">
        <f>SUM(BD180:BD181)</f>
        <v>1602.93</v>
      </c>
      <c r="BE179" s="384">
        <f>BE180+BE181</f>
        <v>1655</v>
      </c>
      <c r="BF179" s="384">
        <f>BF180+BF181</f>
        <v>1816.3</v>
      </c>
      <c r="BG179" s="384">
        <f>SUM(BG180:BG181)</f>
        <v>0</v>
      </c>
      <c r="BH179" s="384"/>
      <c r="BI179" s="384"/>
      <c r="BJ179" s="384"/>
      <c r="BK179" s="384"/>
      <c r="BL179" s="384">
        <f>BM179+BN179+BO179+BP179</f>
        <v>3.4924596548080444E-10</v>
      </c>
      <c r="BM179" s="384">
        <f t="shared" ref="BM179:BQ179" si="184">SUM(BM180:BM181)</f>
        <v>0</v>
      </c>
      <c r="BN179" s="384">
        <f t="shared" si="184"/>
        <v>0</v>
      </c>
      <c r="BO179" s="384">
        <f t="shared" si="184"/>
        <v>0</v>
      </c>
      <c r="BP179" s="384">
        <f>I179-N179-S179-X179-AC179-AH179-BK179-AM179-AR179-AW179</f>
        <v>3.4924596548080444E-10</v>
      </c>
      <c r="BQ179" s="384">
        <f t="shared" si="184"/>
        <v>0</v>
      </c>
      <c r="BR179" s="384"/>
      <c r="BS179" s="384"/>
      <c r="BT179" s="384"/>
      <c r="BU179" s="386"/>
      <c r="BV179" s="384">
        <f t="shared" ref="BV179:BV199" si="185">BC179-BQ179</f>
        <v>4.0745362639427185E-9</v>
      </c>
    </row>
    <row r="180" spans="1:74" ht="25.15" customHeight="1" x14ac:dyDescent="0.25">
      <c r="A180" s="396"/>
      <c r="B180" s="383" t="s">
        <v>193</v>
      </c>
      <c r="C180" s="397"/>
      <c r="D180" s="398"/>
      <c r="E180" s="399">
        <f>F180+G180+H180+I180</f>
        <v>79877621.850000009</v>
      </c>
      <c r="F180" s="399">
        <v>14763010.85</v>
      </c>
      <c r="G180" s="399">
        <v>35689729.68</v>
      </c>
      <c r="H180" s="399">
        <v>4280999.4800000004</v>
      </c>
      <c r="I180" s="399">
        <v>25143881.84</v>
      </c>
      <c r="J180" s="384">
        <f t="shared" si="180"/>
        <v>0</v>
      </c>
      <c r="K180" s="384"/>
      <c r="L180" s="384"/>
      <c r="M180" s="384"/>
      <c r="N180" s="384"/>
      <c r="O180" s="384">
        <f t="shared" si="78"/>
        <v>4570380</v>
      </c>
      <c r="P180" s="384">
        <v>1232631.49</v>
      </c>
      <c r="Q180" s="384">
        <v>2980344.8</v>
      </c>
      <c r="R180" s="384">
        <v>357403.71</v>
      </c>
      <c r="S180" s="384"/>
      <c r="T180" s="384">
        <f t="shared" si="181"/>
        <v>48330621.510000005</v>
      </c>
      <c r="U180" s="384">
        <v>13034768.640000001</v>
      </c>
      <c r="V180" s="384">
        <v>31516398.280000001</v>
      </c>
      <c r="W180" s="384">
        <v>3779454.59</v>
      </c>
      <c r="X180" s="384">
        <v>0</v>
      </c>
      <c r="Y180" s="384">
        <f t="shared" ref="Y180:Y196" si="186">SUM(Z180:AC180)</f>
        <v>26153318.77</v>
      </c>
      <c r="Z180" s="384">
        <v>495610.72</v>
      </c>
      <c r="AA180" s="384">
        <v>1192986.6000000001</v>
      </c>
      <c r="AB180" s="384">
        <v>144141.18</v>
      </c>
      <c r="AC180" s="386">
        <v>24320580.27</v>
      </c>
      <c r="AD180" s="384">
        <f t="shared" ref="AD180:AD194" si="187">SUM(AE180:AH180)</f>
        <v>0</v>
      </c>
      <c r="AE180" s="384"/>
      <c r="AF180" s="384"/>
      <c r="AG180" s="384"/>
      <c r="AH180" s="386"/>
      <c r="AI180" s="384">
        <f t="shared" ref="AI180:AI194" si="188">SUM(AJ180:AM180)</f>
        <v>823301.57</v>
      </c>
      <c r="AJ180" s="384"/>
      <c r="AK180" s="384"/>
      <c r="AL180" s="384"/>
      <c r="AM180" s="386">
        <v>823301.57</v>
      </c>
      <c r="AN180" s="384">
        <v>0</v>
      </c>
      <c r="AO180" s="384"/>
      <c r="AP180" s="384"/>
      <c r="AQ180" s="384"/>
      <c r="AR180" s="386"/>
      <c r="AS180" s="384">
        <v>0</v>
      </c>
      <c r="AT180" s="384"/>
      <c r="AU180" s="384"/>
      <c r="AV180" s="384"/>
      <c r="AW180" s="386"/>
      <c r="AX180" s="384">
        <f t="shared" ref="AX180:AX194" si="189">SUM(AY180:BB180)</f>
        <v>0</v>
      </c>
      <c r="AY180" s="384"/>
      <c r="AZ180" s="384"/>
      <c r="BA180" s="384"/>
      <c r="BB180" s="386"/>
      <c r="BC180" s="384">
        <f>E180-J180-O180-T180-Y180-AD180-AI180-AN180-AS180-AX180</f>
        <v>4.0745362639427185E-9</v>
      </c>
      <c r="BD180" s="384">
        <v>1556.53</v>
      </c>
      <c r="BE180" s="384">
        <v>1607.8</v>
      </c>
      <c r="BF180" s="384">
        <v>1764.5</v>
      </c>
      <c r="BG180" s="384">
        <f>SUM(BH180:BK180)</f>
        <v>0</v>
      </c>
      <c r="BH180" s="384"/>
      <c r="BI180" s="384"/>
      <c r="BJ180" s="384"/>
      <c r="BK180" s="384"/>
      <c r="BL180" s="384">
        <f t="shared" ref="BL180:BL246" si="190">BM180+BN180+BO180+BP180</f>
        <v>0</v>
      </c>
      <c r="BM180" s="384"/>
      <c r="BN180" s="384"/>
      <c r="BO180" s="384"/>
      <c r="BP180" s="384"/>
      <c r="BQ180" s="384">
        <f t="shared" ref="BQ180:BQ197" si="191">SUM(BR180:BU180)</f>
        <v>0</v>
      </c>
      <c r="BR180" s="384"/>
      <c r="BS180" s="384"/>
      <c r="BT180" s="384"/>
      <c r="BU180" s="386"/>
      <c r="BV180" s="384">
        <f t="shared" si="185"/>
        <v>4.0745362639427185E-9</v>
      </c>
    </row>
    <row r="181" spans="1:74" ht="25.15" customHeight="1" x14ac:dyDescent="0.25">
      <c r="A181" s="404"/>
      <c r="B181" s="383" t="s">
        <v>194</v>
      </c>
      <c r="C181" s="373"/>
      <c r="D181" s="400"/>
      <c r="E181" s="399">
        <f>F181+G181+H181+I181</f>
        <v>1759568.9999999998</v>
      </c>
      <c r="F181" s="401">
        <v>1127825.1499999999</v>
      </c>
      <c r="G181" s="401">
        <v>494119.16</v>
      </c>
      <c r="H181" s="401">
        <v>137624.69</v>
      </c>
      <c r="I181" s="401">
        <v>0</v>
      </c>
      <c r="J181" s="384">
        <f t="shared" si="180"/>
        <v>0</v>
      </c>
      <c r="K181" s="402"/>
      <c r="L181" s="402"/>
      <c r="M181" s="402"/>
      <c r="N181" s="402"/>
      <c r="O181" s="384">
        <f t="shared" si="78"/>
        <v>0</v>
      </c>
      <c r="P181" s="402"/>
      <c r="Q181" s="402"/>
      <c r="R181" s="402"/>
      <c r="S181" s="402"/>
      <c r="T181" s="384">
        <f t="shared" si="181"/>
        <v>0</v>
      </c>
      <c r="U181" s="402"/>
      <c r="V181" s="402"/>
      <c r="W181" s="402"/>
      <c r="X181" s="402"/>
      <c r="Y181" s="384">
        <f t="shared" si="186"/>
        <v>1759568.9999999998</v>
      </c>
      <c r="Z181" s="384">
        <v>1127825.1499999999</v>
      </c>
      <c r="AA181" s="384">
        <v>494119.16</v>
      </c>
      <c r="AB181" s="384">
        <v>137624.69</v>
      </c>
      <c r="AC181" s="386"/>
      <c r="AD181" s="384">
        <f t="shared" si="187"/>
        <v>0</v>
      </c>
      <c r="AE181" s="384"/>
      <c r="AF181" s="384"/>
      <c r="AG181" s="384"/>
      <c r="AH181" s="386"/>
      <c r="AI181" s="384">
        <f t="shared" si="188"/>
        <v>0</v>
      </c>
      <c r="AJ181" s="384"/>
      <c r="AK181" s="384"/>
      <c r="AL181" s="384"/>
      <c r="AM181" s="386"/>
      <c r="AN181" s="384">
        <v>0</v>
      </c>
      <c r="AO181" s="384"/>
      <c r="AP181" s="384"/>
      <c r="AQ181" s="384"/>
      <c r="AR181" s="386"/>
      <c r="AS181" s="384">
        <v>0</v>
      </c>
      <c r="AT181" s="384"/>
      <c r="AU181" s="384"/>
      <c r="AV181" s="384"/>
      <c r="AW181" s="386"/>
      <c r="AX181" s="384">
        <f t="shared" si="189"/>
        <v>0</v>
      </c>
      <c r="AY181" s="384"/>
      <c r="AZ181" s="384"/>
      <c r="BA181" s="384"/>
      <c r="BB181" s="386"/>
      <c r="BC181" s="384">
        <f t="shared" ref="BC181:BC198" si="192">E181-J181-O181-T181-Y181-AD181-AI181-AN181-AS181-AX181</f>
        <v>0</v>
      </c>
      <c r="BD181" s="384">
        <v>46.4</v>
      </c>
      <c r="BE181" s="384">
        <v>47.2</v>
      </c>
      <c r="BF181" s="384">
        <v>51.8</v>
      </c>
      <c r="BG181" s="384">
        <f t="shared" ref="BG181:BG197" si="193">SUM(BH181:BK181)</f>
        <v>0</v>
      </c>
      <c r="BH181" s="384"/>
      <c r="BI181" s="384"/>
      <c r="BJ181" s="384"/>
      <c r="BK181" s="384"/>
      <c r="BL181" s="384">
        <f t="shared" si="190"/>
        <v>0</v>
      </c>
      <c r="BM181" s="384"/>
      <c r="BN181" s="384"/>
      <c r="BO181" s="384"/>
      <c r="BP181" s="384"/>
      <c r="BQ181" s="384">
        <f t="shared" si="191"/>
        <v>0</v>
      </c>
      <c r="BR181" s="384"/>
      <c r="BS181" s="384"/>
      <c r="BT181" s="384"/>
      <c r="BU181" s="386"/>
      <c r="BV181" s="384">
        <f t="shared" si="185"/>
        <v>0</v>
      </c>
    </row>
    <row r="182" spans="1:74" ht="33.6" customHeight="1" x14ac:dyDescent="0.25">
      <c r="A182" s="382" t="s">
        <v>107</v>
      </c>
      <c r="B182" s="383" t="s">
        <v>10</v>
      </c>
      <c r="C182" s="374">
        <v>226</v>
      </c>
      <c r="D182" s="387" t="s">
        <v>594</v>
      </c>
      <c r="E182" s="384">
        <f>F182+G182+H182+I182</f>
        <v>5000</v>
      </c>
      <c r="F182" s="384"/>
      <c r="G182" s="384"/>
      <c r="H182" s="384"/>
      <c r="I182" s="384">
        <v>5000</v>
      </c>
      <c r="J182" s="384">
        <f t="shared" si="180"/>
        <v>5000</v>
      </c>
      <c r="K182" s="384"/>
      <c r="L182" s="384"/>
      <c r="M182" s="384"/>
      <c r="N182" s="384">
        <v>5000</v>
      </c>
      <c r="O182" s="384">
        <f t="shared" si="78"/>
        <v>0</v>
      </c>
      <c r="P182" s="384"/>
      <c r="Q182" s="384"/>
      <c r="R182" s="384"/>
      <c r="S182" s="384"/>
      <c r="T182" s="384">
        <f t="shared" si="181"/>
        <v>0</v>
      </c>
      <c r="U182" s="384"/>
      <c r="V182" s="384"/>
      <c r="W182" s="384"/>
      <c r="X182" s="384"/>
      <c r="Y182" s="384">
        <f t="shared" si="186"/>
        <v>0</v>
      </c>
      <c r="Z182" s="384"/>
      <c r="AA182" s="384"/>
      <c r="AB182" s="384"/>
      <c r="AC182" s="386"/>
      <c r="AD182" s="384">
        <f t="shared" si="187"/>
        <v>0</v>
      </c>
      <c r="AE182" s="384"/>
      <c r="AF182" s="384"/>
      <c r="AG182" s="384"/>
      <c r="AH182" s="386"/>
      <c r="AI182" s="384">
        <f t="shared" si="188"/>
        <v>0</v>
      </c>
      <c r="AJ182" s="384"/>
      <c r="AK182" s="384"/>
      <c r="AL182" s="384"/>
      <c r="AM182" s="386"/>
      <c r="AN182" s="384">
        <v>0</v>
      </c>
      <c r="AO182" s="384"/>
      <c r="AP182" s="384"/>
      <c r="AQ182" s="384"/>
      <c r="AR182" s="386"/>
      <c r="AS182" s="384">
        <v>0</v>
      </c>
      <c r="AT182" s="384"/>
      <c r="AU182" s="384"/>
      <c r="AV182" s="384"/>
      <c r="AW182" s="386"/>
      <c r="AX182" s="384">
        <f t="shared" si="189"/>
        <v>0</v>
      </c>
      <c r="AY182" s="384"/>
      <c r="AZ182" s="384"/>
      <c r="BA182" s="384"/>
      <c r="BB182" s="386"/>
      <c r="BC182" s="384">
        <f t="shared" si="192"/>
        <v>0</v>
      </c>
      <c r="BD182" s="384"/>
      <c r="BE182" s="384"/>
      <c r="BF182" s="384"/>
      <c r="BG182" s="384">
        <f>SUM(BH182:BK182)</f>
        <v>0</v>
      </c>
      <c r="BH182" s="384"/>
      <c r="BI182" s="384"/>
      <c r="BJ182" s="384"/>
      <c r="BK182" s="384"/>
      <c r="BL182" s="384">
        <f t="shared" si="190"/>
        <v>0</v>
      </c>
      <c r="BM182" s="384"/>
      <c r="BN182" s="384"/>
      <c r="BO182" s="384"/>
      <c r="BP182" s="384"/>
      <c r="BQ182" s="384">
        <f t="shared" si="191"/>
        <v>0</v>
      </c>
      <c r="BR182" s="384"/>
      <c r="BS182" s="384"/>
      <c r="BT182" s="384"/>
      <c r="BU182" s="386"/>
      <c r="BV182" s="384">
        <f t="shared" si="185"/>
        <v>0</v>
      </c>
    </row>
    <row r="183" spans="1:74" ht="33.6" customHeight="1" x14ac:dyDescent="0.25">
      <c r="A183" s="382" t="s">
        <v>108</v>
      </c>
      <c r="B183" s="383" t="s">
        <v>8</v>
      </c>
      <c r="C183" s="374">
        <v>226</v>
      </c>
      <c r="D183" s="387" t="s">
        <v>554</v>
      </c>
      <c r="E183" s="384">
        <f t="shared" ref="E183:E197" si="194">F183+G183+H183+I183</f>
        <v>7500</v>
      </c>
      <c r="F183" s="384"/>
      <c r="G183" s="384"/>
      <c r="H183" s="384"/>
      <c r="I183" s="384">
        <v>7500</v>
      </c>
      <c r="J183" s="384">
        <f t="shared" si="180"/>
        <v>0</v>
      </c>
      <c r="K183" s="384"/>
      <c r="L183" s="384"/>
      <c r="M183" s="384"/>
      <c r="N183" s="384"/>
      <c r="O183" s="384">
        <f t="shared" si="78"/>
        <v>7500</v>
      </c>
      <c r="P183" s="384"/>
      <c r="Q183" s="384"/>
      <c r="R183" s="384"/>
      <c r="S183" s="384">
        <v>7500</v>
      </c>
      <c r="T183" s="384">
        <f t="shared" si="181"/>
        <v>0</v>
      </c>
      <c r="U183" s="384"/>
      <c r="V183" s="384"/>
      <c r="W183" s="384"/>
      <c r="X183" s="384"/>
      <c r="Y183" s="384">
        <f t="shared" si="186"/>
        <v>0</v>
      </c>
      <c r="Z183" s="384"/>
      <c r="AA183" s="384"/>
      <c r="AB183" s="384"/>
      <c r="AC183" s="386"/>
      <c r="AD183" s="384">
        <f t="shared" si="187"/>
        <v>0</v>
      </c>
      <c r="AE183" s="384"/>
      <c r="AF183" s="384"/>
      <c r="AG183" s="384"/>
      <c r="AH183" s="386"/>
      <c r="AI183" s="384">
        <f t="shared" si="188"/>
        <v>0</v>
      </c>
      <c r="AJ183" s="384"/>
      <c r="AK183" s="384"/>
      <c r="AL183" s="384"/>
      <c r="AM183" s="386"/>
      <c r="AN183" s="384">
        <v>0</v>
      </c>
      <c r="AO183" s="384"/>
      <c r="AP183" s="384"/>
      <c r="AQ183" s="384"/>
      <c r="AR183" s="386"/>
      <c r="AS183" s="384">
        <v>0</v>
      </c>
      <c r="AT183" s="384"/>
      <c r="AU183" s="384"/>
      <c r="AV183" s="384"/>
      <c r="AW183" s="386"/>
      <c r="AX183" s="384">
        <f t="shared" si="189"/>
        <v>0</v>
      </c>
      <c r="AY183" s="384"/>
      <c r="AZ183" s="384"/>
      <c r="BA183" s="384"/>
      <c r="BB183" s="386"/>
      <c r="BC183" s="384">
        <f t="shared" si="192"/>
        <v>0</v>
      </c>
      <c r="BD183" s="384"/>
      <c r="BE183" s="384"/>
      <c r="BF183" s="384"/>
      <c r="BG183" s="384">
        <f t="shared" si="193"/>
        <v>0</v>
      </c>
      <c r="BH183" s="384"/>
      <c r="BI183" s="384"/>
      <c r="BJ183" s="384"/>
      <c r="BK183" s="384"/>
      <c r="BL183" s="384">
        <f t="shared" si="190"/>
        <v>0</v>
      </c>
      <c r="BM183" s="384"/>
      <c r="BN183" s="384"/>
      <c r="BO183" s="384"/>
      <c r="BP183" s="384"/>
      <c r="BQ183" s="384">
        <f t="shared" si="191"/>
        <v>0</v>
      </c>
      <c r="BR183" s="384"/>
      <c r="BS183" s="384"/>
      <c r="BT183" s="384"/>
      <c r="BU183" s="386"/>
      <c r="BV183" s="384">
        <f t="shared" si="185"/>
        <v>0</v>
      </c>
    </row>
    <row r="184" spans="1:74" ht="46.15" customHeight="1" x14ac:dyDescent="0.25">
      <c r="A184" s="382" t="s">
        <v>109</v>
      </c>
      <c r="B184" s="383" t="s">
        <v>1</v>
      </c>
      <c r="C184" s="374">
        <v>226</v>
      </c>
      <c r="D184" s="387" t="s">
        <v>582</v>
      </c>
      <c r="E184" s="384">
        <f t="shared" si="194"/>
        <v>343175.05</v>
      </c>
      <c r="F184" s="384"/>
      <c r="G184" s="384"/>
      <c r="H184" s="384"/>
      <c r="I184" s="384">
        <v>343175.05</v>
      </c>
      <c r="J184" s="384">
        <f t="shared" si="180"/>
        <v>343175.05</v>
      </c>
      <c r="K184" s="384"/>
      <c r="L184" s="384"/>
      <c r="M184" s="384"/>
      <c r="N184" s="384">
        <v>343175.05</v>
      </c>
      <c r="O184" s="384">
        <f t="shared" si="78"/>
        <v>0</v>
      </c>
      <c r="P184" s="384"/>
      <c r="Q184" s="384"/>
      <c r="R184" s="384"/>
      <c r="S184" s="384"/>
      <c r="T184" s="384">
        <f t="shared" si="181"/>
        <v>0</v>
      </c>
      <c r="U184" s="384"/>
      <c r="V184" s="384"/>
      <c r="W184" s="384"/>
      <c r="X184" s="384"/>
      <c r="Y184" s="384">
        <f t="shared" si="186"/>
        <v>0</v>
      </c>
      <c r="Z184" s="384"/>
      <c r="AA184" s="384"/>
      <c r="AB184" s="384"/>
      <c r="AC184" s="386"/>
      <c r="AD184" s="384">
        <f t="shared" si="187"/>
        <v>0</v>
      </c>
      <c r="AE184" s="384"/>
      <c r="AF184" s="384"/>
      <c r="AG184" s="384"/>
      <c r="AH184" s="386"/>
      <c r="AI184" s="384">
        <f t="shared" si="188"/>
        <v>0</v>
      </c>
      <c r="AJ184" s="384"/>
      <c r="AK184" s="384"/>
      <c r="AL184" s="384"/>
      <c r="AM184" s="386"/>
      <c r="AN184" s="384">
        <v>0</v>
      </c>
      <c r="AO184" s="384"/>
      <c r="AP184" s="384"/>
      <c r="AQ184" s="384"/>
      <c r="AR184" s="386"/>
      <c r="AS184" s="384">
        <v>0</v>
      </c>
      <c r="AT184" s="384"/>
      <c r="AU184" s="384"/>
      <c r="AV184" s="384"/>
      <c r="AW184" s="386"/>
      <c r="AX184" s="384">
        <f t="shared" si="189"/>
        <v>0</v>
      </c>
      <c r="AY184" s="384"/>
      <c r="AZ184" s="384"/>
      <c r="BA184" s="384"/>
      <c r="BB184" s="386"/>
      <c r="BC184" s="384">
        <f t="shared" si="192"/>
        <v>0</v>
      </c>
      <c r="BD184" s="384"/>
      <c r="BE184" s="384"/>
      <c r="BF184" s="384"/>
      <c r="BG184" s="384">
        <f t="shared" si="193"/>
        <v>0</v>
      </c>
      <c r="BH184" s="384"/>
      <c r="BI184" s="384"/>
      <c r="BJ184" s="384"/>
      <c r="BK184" s="384"/>
      <c r="BL184" s="384">
        <f t="shared" si="190"/>
        <v>0</v>
      </c>
      <c r="BM184" s="384"/>
      <c r="BN184" s="384"/>
      <c r="BO184" s="384"/>
      <c r="BP184" s="384"/>
      <c r="BQ184" s="384">
        <f t="shared" si="191"/>
        <v>0</v>
      </c>
      <c r="BR184" s="384"/>
      <c r="BS184" s="384"/>
      <c r="BT184" s="384"/>
      <c r="BU184" s="386"/>
      <c r="BV184" s="384">
        <f t="shared" si="185"/>
        <v>0</v>
      </c>
    </row>
    <row r="185" spans="1:74" ht="26.45" customHeight="1" x14ac:dyDescent="0.25">
      <c r="A185" s="382" t="s">
        <v>110</v>
      </c>
      <c r="B185" s="383" t="s">
        <v>1</v>
      </c>
      <c r="C185" s="374">
        <v>226</v>
      </c>
      <c r="D185" s="387" t="s">
        <v>595</v>
      </c>
      <c r="E185" s="384">
        <f t="shared" si="194"/>
        <v>19641.689999999999</v>
      </c>
      <c r="F185" s="384"/>
      <c r="G185" s="384"/>
      <c r="H185" s="384"/>
      <c r="I185" s="384">
        <v>19641.689999999999</v>
      </c>
      <c r="J185" s="384">
        <f t="shared" si="180"/>
        <v>0</v>
      </c>
      <c r="K185" s="384"/>
      <c r="L185" s="384"/>
      <c r="M185" s="384"/>
      <c r="N185" s="384"/>
      <c r="O185" s="384">
        <f t="shared" si="78"/>
        <v>19641.689999999999</v>
      </c>
      <c r="P185" s="384"/>
      <c r="Q185" s="384"/>
      <c r="R185" s="384"/>
      <c r="S185" s="384">
        <v>19641.689999999999</v>
      </c>
      <c r="T185" s="384">
        <f t="shared" si="181"/>
        <v>0</v>
      </c>
      <c r="U185" s="384"/>
      <c r="V185" s="384"/>
      <c r="W185" s="384"/>
      <c r="X185" s="384"/>
      <c r="Y185" s="384">
        <f t="shared" si="186"/>
        <v>0</v>
      </c>
      <c r="Z185" s="384"/>
      <c r="AA185" s="384"/>
      <c r="AB185" s="384"/>
      <c r="AC185" s="386"/>
      <c r="AD185" s="384">
        <f t="shared" si="187"/>
        <v>0</v>
      </c>
      <c r="AE185" s="384"/>
      <c r="AF185" s="384"/>
      <c r="AG185" s="384"/>
      <c r="AH185" s="386"/>
      <c r="AI185" s="384">
        <f t="shared" si="188"/>
        <v>0</v>
      </c>
      <c r="AJ185" s="384"/>
      <c r="AK185" s="384"/>
      <c r="AL185" s="384"/>
      <c r="AM185" s="386"/>
      <c r="AN185" s="384">
        <v>0</v>
      </c>
      <c r="AO185" s="384"/>
      <c r="AP185" s="384"/>
      <c r="AQ185" s="384"/>
      <c r="AR185" s="386"/>
      <c r="AS185" s="384">
        <v>0</v>
      </c>
      <c r="AT185" s="384"/>
      <c r="AU185" s="384"/>
      <c r="AV185" s="384"/>
      <c r="AW185" s="386"/>
      <c r="AX185" s="384">
        <f t="shared" si="189"/>
        <v>0</v>
      </c>
      <c r="AY185" s="384"/>
      <c r="AZ185" s="384"/>
      <c r="BA185" s="384"/>
      <c r="BB185" s="386"/>
      <c r="BC185" s="384">
        <f t="shared" si="192"/>
        <v>0</v>
      </c>
      <c r="BD185" s="384"/>
      <c r="BE185" s="384"/>
      <c r="BF185" s="384"/>
      <c r="BG185" s="384">
        <f t="shared" si="193"/>
        <v>0</v>
      </c>
      <c r="BH185" s="384"/>
      <c r="BI185" s="384"/>
      <c r="BJ185" s="384"/>
      <c r="BK185" s="384"/>
      <c r="BL185" s="384">
        <f t="shared" si="190"/>
        <v>0</v>
      </c>
      <c r="BM185" s="384"/>
      <c r="BN185" s="384"/>
      <c r="BO185" s="384"/>
      <c r="BP185" s="384"/>
      <c r="BQ185" s="384">
        <f t="shared" si="191"/>
        <v>0</v>
      </c>
      <c r="BR185" s="384"/>
      <c r="BS185" s="384"/>
      <c r="BT185" s="384"/>
      <c r="BU185" s="386"/>
      <c r="BV185" s="384">
        <f t="shared" si="185"/>
        <v>0</v>
      </c>
    </row>
    <row r="186" spans="1:74" ht="44.45" customHeight="1" x14ac:dyDescent="0.25">
      <c r="A186" s="382" t="s">
        <v>111</v>
      </c>
      <c r="B186" s="383" t="s">
        <v>11</v>
      </c>
      <c r="C186" s="374">
        <v>226</v>
      </c>
      <c r="D186" s="387" t="s">
        <v>584</v>
      </c>
      <c r="E186" s="384">
        <f t="shared" si="194"/>
        <v>1576395</v>
      </c>
      <c r="F186" s="384"/>
      <c r="G186" s="384"/>
      <c r="H186" s="384"/>
      <c r="I186" s="384">
        <v>1576395</v>
      </c>
      <c r="J186" s="384">
        <f t="shared" si="180"/>
        <v>0</v>
      </c>
      <c r="K186" s="384"/>
      <c r="L186" s="384"/>
      <c r="M186" s="384"/>
      <c r="N186" s="384"/>
      <c r="O186" s="384">
        <f t="shared" si="78"/>
        <v>1576395</v>
      </c>
      <c r="P186" s="384"/>
      <c r="Q186" s="384"/>
      <c r="R186" s="384"/>
      <c r="S186" s="384">
        <v>1576395</v>
      </c>
      <c r="T186" s="384">
        <f t="shared" si="181"/>
        <v>0</v>
      </c>
      <c r="U186" s="384"/>
      <c r="V186" s="384"/>
      <c r="W186" s="384"/>
      <c r="X186" s="384"/>
      <c r="Y186" s="384">
        <f t="shared" si="186"/>
        <v>0</v>
      </c>
      <c r="Z186" s="384"/>
      <c r="AA186" s="384"/>
      <c r="AB186" s="384"/>
      <c r="AC186" s="386"/>
      <c r="AD186" s="384">
        <f t="shared" si="187"/>
        <v>0</v>
      </c>
      <c r="AE186" s="384"/>
      <c r="AF186" s="384"/>
      <c r="AG186" s="384"/>
      <c r="AH186" s="386"/>
      <c r="AI186" s="384">
        <f t="shared" si="188"/>
        <v>0</v>
      </c>
      <c r="AJ186" s="384"/>
      <c r="AK186" s="384"/>
      <c r="AL186" s="384"/>
      <c r="AM186" s="386"/>
      <c r="AN186" s="384">
        <v>0</v>
      </c>
      <c r="AO186" s="384"/>
      <c r="AP186" s="384"/>
      <c r="AQ186" s="384"/>
      <c r="AR186" s="386"/>
      <c r="AS186" s="384">
        <v>0</v>
      </c>
      <c r="AT186" s="384"/>
      <c r="AU186" s="384"/>
      <c r="AV186" s="384"/>
      <c r="AW186" s="386"/>
      <c r="AX186" s="384">
        <f t="shared" si="189"/>
        <v>0</v>
      </c>
      <c r="AY186" s="384"/>
      <c r="AZ186" s="384"/>
      <c r="BA186" s="384"/>
      <c r="BB186" s="386"/>
      <c r="BC186" s="384">
        <f t="shared" si="192"/>
        <v>0</v>
      </c>
      <c r="BD186" s="384"/>
      <c r="BE186" s="384"/>
      <c r="BF186" s="384"/>
      <c r="BG186" s="384">
        <f t="shared" si="193"/>
        <v>0</v>
      </c>
      <c r="BH186" s="384"/>
      <c r="BI186" s="384"/>
      <c r="BJ186" s="384"/>
      <c r="BK186" s="384"/>
      <c r="BL186" s="384">
        <f t="shared" si="190"/>
        <v>0</v>
      </c>
      <c r="BM186" s="384"/>
      <c r="BN186" s="384"/>
      <c r="BO186" s="384"/>
      <c r="BP186" s="384"/>
      <c r="BQ186" s="384">
        <f t="shared" si="191"/>
        <v>0</v>
      </c>
      <c r="BR186" s="384"/>
      <c r="BS186" s="384"/>
      <c r="BT186" s="384"/>
      <c r="BU186" s="386"/>
      <c r="BV186" s="384">
        <f t="shared" si="185"/>
        <v>0</v>
      </c>
    </row>
    <row r="187" spans="1:74" ht="42" customHeight="1" x14ac:dyDescent="0.25">
      <c r="A187" s="382" t="s">
        <v>112</v>
      </c>
      <c r="B187" s="383" t="s">
        <v>20</v>
      </c>
      <c r="C187" s="374">
        <v>226</v>
      </c>
      <c r="D187" s="387" t="s">
        <v>596</v>
      </c>
      <c r="E187" s="384">
        <f t="shared" si="194"/>
        <v>151286.91</v>
      </c>
      <c r="F187" s="384"/>
      <c r="G187" s="384"/>
      <c r="H187" s="384"/>
      <c r="I187" s="384">
        <v>151286.91</v>
      </c>
      <c r="J187" s="384">
        <f t="shared" si="180"/>
        <v>0</v>
      </c>
      <c r="K187" s="384"/>
      <c r="L187" s="384"/>
      <c r="M187" s="384"/>
      <c r="N187" s="384"/>
      <c r="O187" s="384">
        <f t="shared" ref="O187:O198" si="195">P187+Q187+R187+S187</f>
        <v>7746.41</v>
      </c>
      <c r="P187" s="384"/>
      <c r="Q187" s="384"/>
      <c r="R187" s="384"/>
      <c r="S187" s="384">
        <v>7746.41</v>
      </c>
      <c r="T187" s="384">
        <f t="shared" si="181"/>
        <v>41781.57</v>
      </c>
      <c r="U187" s="384"/>
      <c r="V187" s="384"/>
      <c r="W187" s="384"/>
      <c r="X187" s="384">
        <v>41781.57</v>
      </c>
      <c r="Y187" s="384">
        <f>SUM(Z187:AC187)</f>
        <v>88840.140000000014</v>
      </c>
      <c r="Z187" s="384"/>
      <c r="AA187" s="384"/>
      <c r="AB187" s="374"/>
      <c r="AC187" s="386">
        <f>66445.6+7437.9+3488.14+10073.08+1380.57+14.85</f>
        <v>88840.140000000014</v>
      </c>
      <c r="AD187" s="384">
        <f t="shared" si="187"/>
        <v>0</v>
      </c>
      <c r="AE187" s="384"/>
      <c r="AF187" s="384"/>
      <c r="AG187" s="374"/>
      <c r="AH187" s="386"/>
      <c r="AI187" s="384">
        <f t="shared" si="188"/>
        <v>0</v>
      </c>
      <c r="AJ187" s="384"/>
      <c r="AK187" s="384"/>
      <c r="AL187" s="374"/>
      <c r="AM187" s="386"/>
      <c r="AN187" s="384">
        <v>0</v>
      </c>
      <c r="AO187" s="384"/>
      <c r="AP187" s="384"/>
      <c r="AQ187" s="374"/>
      <c r="AR187" s="386"/>
      <c r="AS187" s="384">
        <v>0</v>
      </c>
      <c r="AT187" s="384"/>
      <c r="AU187" s="384"/>
      <c r="AV187" s="374"/>
      <c r="AW187" s="386"/>
      <c r="AX187" s="384">
        <f t="shared" si="189"/>
        <v>0</v>
      </c>
      <c r="AY187" s="384"/>
      <c r="AZ187" s="384"/>
      <c r="BA187" s="374"/>
      <c r="BB187" s="386"/>
      <c r="BC187" s="384">
        <f t="shared" si="192"/>
        <v>12918.789999999979</v>
      </c>
      <c r="BD187" s="384"/>
      <c r="BE187" s="384"/>
      <c r="BF187" s="384"/>
      <c r="BG187" s="384">
        <f t="shared" si="193"/>
        <v>0</v>
      </c>
      <c r="BH187" s="384"/>
      <c r="BI187" s="384"/>
      <c r="BJ187" s="384"/>
      <c r="BK187" s="384"/>
      <c r="BL187" s="384">
        <f t="shared" si="190"/>
        <v>12918.789999999979</v>
      </c>
      <c r="BM187" s="384"/>
      <c r="BN187" s="384"/>
      <c r="BO187" s="384"/>
      <c r="BP187" s="384">
        <f>I187-N187-S187-X187-AC187-AH187-BK187-BB187-AM187-AR187-AW187</f>
        <v>12918.789999999979</v>
      </c>
      <c r="BQ187" s="384">
        <f t="shared" si="191"/>
        <v>0</v>
      </c>
      <c r="BR187" s="384"/>
      <c r="BS187" s="384"/>
      <c r="BT187" s="374"/>
      <c r="BU187" s="386"/>
      <c r="BV187" s="384">
        <f t="shared" si="185"/>
        <v>12918.789999999979</v>
      </c>
    </row>
    <row r="188" spans="1:74" ht="46.15" customHeight="1" x14ac:dyDescent="0.25">
      <c r="A188" s="382" t="s">
        <v>113</v>
      </c>
      <c r="B188" s="383" t="s">
        <v>12</v>
      </c>
      <c r="C188" s="374">
        <v>226</v>
      </c>
      <c r="D188" s="387" t="s">
        <v>597</v>
      </c>
      <c r="E188" s="384">
        <f t="shared" si="194"/>
        <v>516212.6</v>
      </c>
      <c r="F188" s="384"/>
      <c r="G188" s="384"/>
      <c r="H188" s="384"/>
      <c r="I188" s="384">
        <v>516212.6</v>
      </c>
      <c r="J188" s="384">
        <f t="shared" si="180"/>
        <v>0</v>
      </c>
      <c r="K188" s="384"/>
      <c r="L188" s="384"/>
      <c r="M188" s="384"/>
      <c r="N188" s="384"/>
      <c r="O188" s="384">
        <f t="shared" si="195"/>
        <v>154863.78</v>
      </c>
      <c r="P188" s="384"/>
      <c r="Q188" s="384"/>
      <c r="R188" s="384"/>
      <c r="S188" s="384">
        <v>154863.78</v>
      </c>
      <c r="T188" s="384">
        <f t="shared" si="181"/>
        <v>0</v>
      </c>
      <c r="U188" s="384"/>
      <c r="V188" s="384"/>
      <c r="W188" s="384"/>
      <c r="X188" s="384">
        <v>0</v>
      </c>
      <c r="Y188" s="384">
        <f>SUM(Z188:AC188)</f>
        <v>361348.82</v>
      </c>
      <c r="Z188" s="384"/>
      <c r="AA188" s="384"/>
      <c r="AB188" s="374"/>
      <c r="AC188" s="386">
        <v>361348.82</v>
      </c>
      <c r="AD188" s="384">
        <f t="shared" si="187"/>
        <v>0</v>
      </c>
      <c r="AE188" s="384"/>
      <c r="AF188" s="384"/>
      <c r="AG188" s="374"/>
      <c r="AH188" s="386"/>
      <c r="AI188" s="384">
        <f t="shared" si="188"/>
        <v>0</v>
      </c>
      <c r="AJ188" s="384"/>
      <c r="AK188" s="384"/>
      <c r="AL188" s="374"/>
      <c r="AM188" s="386"/>
      <c r="AN188" s="384">
        <v>0</v>
      </c>
      <c r="AO188" s="384"/>
      <c r="AP188" s="384"/>
      <c r="AQ188" s="374"/>
      <c r="AR188" s="386"/>
      <c r="AS188" s="384">
        <v>0</v>
      </c>
      <c r="AT188" s="384"/>
      <c r="AU188" s="384"/>
      <c r="AV188" s="374"/>
      <c r="AW188" s="386"/>
      <c r="AX188" s="384">
        <f t="shared" si="189"/>
        <v>0</v>
      </c>
      <c r="AY188" s="384"/>
      <c r="AZ188" s="384"/>
      <c r="BA188" s="374"/>
      <c r="BB188" s="386"/>
      <c r="BC188" s="384">
        <f t="shared" si="192"/>
        <v>-5.8207660913467407E-11</v>
      </c>
      <c r="BD188" s="384"/>
      <c r="BE188" s="384"/>
      <c r="BF188" s="384"/>
      <c r="BG188" s="384">
        <f t="shared" si="193"/>
        <v>0</v>
      </c>
      <c r="BH188" s="384"/>
      <c r="BI188" s="384"/>
      <c r="BJ188" s="384"/>
      <c r="BK188" s="384"/>
      <c r="BL188" s="384">
        <f t="shared" si="190"/>
        <v>0</v>
      </c>
      <c r="BM188" s="384"/>
      <c r="BN188" s="384"/>
      <c r="BO188" s="384"/>
      <c r="BP188" s="384"/>
      <c r="BQ188" s="384">
        <f t="shared" si="191"/>
        <v>0</v>
      </c>
      <c r="BR188" s="384"/>
      <c r="BS188" s="384"/>
      <c r="BT188" s="374"/>
      <c r="BU188" s="386"/>
      <c r="BV188" s="384">
        <f t="shared" si="185"/>
        <v>-5.8207660913467407E-11</v>
      </c>
    </row>
    <row r="189" spans="1:74" ht="42.6" customHeight="1" x14ac:dyDescent="0.25">
      <c r="A189" s="382" t="s">
        <v>114</v>
      </c>
      <c r="B189" s="383" t="s">
        <v>13</v>
      </c>
      <c r="C189" s="374">
        <v>226</v>
      </c>
      <c r="D189" s="387" t="s">
        <v>598</v>
      </c>
      <c r="E189" s="384">
        <f t="shared" si="194"/>
        <v>1125538.02</v>
      </c>
      <c r="F189" s="384"/>
      <c r="G189" s="384"/>
      <c r="H189" s="384"/>
      <c r="I189" s="384">
        <v>1125538.02</v>
      </c>
      <c r="J189" s="384">
        <f t="shared" si="180"/>
        <v>0</v>
      </c>
      <c r="K189" s="384"/>
      <c r="L189" s="384"/>
      <c r="M189" s="384"/>
      <c r="N189" s="384"/>
      <c r="O189" s="384">
        <f t="shared" si="195"/>
        <v>731599.71</v>
      </c>
      <c r="P189" s="384"/>
      <c r="Q189" s="384"/>
      <c r="R189" s="384"/>
      <c r="S189" s="384">
        <v>731599.71</v>
      </c>
      <c r="T189" s="384">
        <f t="shared" si="181"/>
        <v>0</v>
      </c>
      <c r="U189" s="384"/>
      <c r="V189" s="384"/>
      <c r="W189" s="384"/>
      <c r="X189" s="384">
        <v>0</v>
      </c>
      <c r="Y189" s="384">
        <f>SUM(Z189:AC189)</f>
        <v>393938.31</v>
      </c>
      <c r="Z189" s="384"/>
      <c r="AA189" s="384"/>
      <c r="AB189" s="374"/>
      <c r="AC189" s="386">
        <v>393938.31</v>
      </c>
      <c r="AD189" s="384">
        <f t="shared" si="187"/>
        <v>0</v>
      </c>
      <c r="AE189" s="384"/>
      <c r="AF189" s="384"/>
      <c r="AG189" s="374"/>
      <c r="AH189" s="386"/>
      <c r="AI189" s="384">
        <f t="shared" si="188"/>
        <v>0</v>
      </c>
      <c r="AJ189" s="384"/>
      <c r="AK189" s="384"/>
      <c r="AL189" s="374"/>
      <c r="AM189" s="386"/>
      <c r="AN189" s="384">
        <v>0</v>
      </c>
      <c r="AO189" s="384"/>
      <c r="AP189" s="384"/>
      <c r="AQ189" s="374"/>
      <c r="AR189" s="386"/>
      <c r="AS189" s="384">
        <v>0</v>
      </c>
      <c r="AT189" s="384"/>
      <c r="AU189" s="384"/>
      <c r="AV189" s="374"/>
      <c r="AW189" s="386"/>
      <c r="AX189" s="384">
        <f t="shared" si="189"/>
        <v>0</v>
      </c>
      <c r="AY189" s="384"/>
      <c r="AZ189" s="384"/>
      <c r="BA189" s="374"/>
      <c r="BB189" s="386"/>
      <c r="BC189" s="384">
        <f t="shared" si="192"/>
        <v>5.8207660913467407E-11</v>
      </c>
      <c r="BD189" s="384"/>
      <c r="BE189" s="384"/>
      <c r="BF189" s="384"/>
      <c r="BG189" s="384">
        <f t="shared" si="193"/>
        <v>0</v>
      </c>
      <c r="BH189" s="384"/>
      <c r="BI189" s="384"/>
      <c r="BJ189" s="384"/>
      <c r="BK189" s="384"/>
      <c r="BL189" s="384">
        <f t="shared" si="190"/>
        <v>0</v>
      </c>
      <c r="BM189" s="384"/>
      <c r="BN189" s="384"/>
      <c r="BO189" s="384"/>
      <c r="BP189" s="384"/>
      <c r="BQ189" s="384">
        <f t="shared" si="191"/>
        <v>0</v>
      </c>
      <c r="BR189" s="384"/>
      <c r="BS189" s="384"/>
      <c r="BT189" s="374"/>
      <c r="BU189" s="386"/>
      <c r="BV189" s="384">
        <f t="shared" si="185"/>
        <v>5.8207660913467407E-11</v>
      </c>
    </row>
    <row r="190" spans="1:74" ht="42.6" customHeight="1" x14ac:dyDescent="0.25">
      <c r="A190" s="382" t="s">
        <v>115</v>
      </c>
      <c r="B190" s="383" t="s">
        <v>15</v>
      </c>
      <c r="C190" s="374">
        <v>226</v>
      </c>
      <c r="D190" s="387" t="s">
        <v>599</v>
      </c>
      <c r="E190" s="384">
        <f t="shared" si="194"/>
        <v>1226288.8400000001</v>
      </c>
      <c r="F190" s="384"/>
      <c r="G190" s="384"/>
      <c r="H190" s="384"/>
      <c r="I190" s="384">
        <v>1226288.8400000001</v>
      </c>
      <c r="J190" s="384">
        <f t="shared" si="180"/>
        <v>0</v>
      </c>
      <c r="K190" s="384"/>
      <c r="L190" s="384"/>
      <c r="M190" s="384"/>
      <c r="N190" s="384"/>
      <c r="O190" s="384">
        <f t="shared" si="195"/>
        <v>0</v>
      </c>
      <c r="P190" s="384"/>
      <c r="Q190" s="384"/>
      <c r="R190" s="384"/>
      <c r="S190" s="384"/>
      <c r="T190" s="384">
        <f t="shared" si="181"/>
        <v>797087.75</v>
      </c>
      <c r="U190" s="384"/>
      <c r="V190" s="384"/>
      <c r="W190" s="384"/>
      <c r="X190" s="384">
        <v>797087.75</v>
      </c>
      <c r="Y190" s="384">
        <f t="shared" si="186"/>
        <v>429201.09</v>
      </c>
      <c r="Z190" s="384"/>
      <c r="AA190" s="384"/>
      <c r="AB190" s="384"/>
      <c r="AC190" s="386">
        <v>429201.09</v>
      </c>
      <c r="AD190" s="384">
        <f t="shared" si="187"/>
        <v>0</v>
      </c>
      <c r="AE190" s="384"/>
      <c r="AF190" s="384"/>
      <c r="AG190" s="384"/>
      <c r="AH190" s="386"/>
      <c r="AI190" s="384">
        <f t="shared" si="188"/>
        <v>0</v>
      </c>
      <c r="AJ190" s="384"/>
      <c r="AK190" s="384"/>
      <c r="AL190" s="384"/>
      <c r="AM190" s="386"/>
      <c r="AN190" s="384">
        <v>0</v>
      </c>
      <c r="AO190" s="384"/>
      <c r="AP190" s="384"/>
      <c r="AQ190" s="384"/>
      <c r="AR190" s="386"/>
      <c r="AS190" s="384">
        <v>0</v>
      </c>
      <c r="AT190" s="384"/>
      <c r="AU190" s="384"/>
      <c r="AV190" s="384"/>
      <c r="AW190" s="386"/>
      <c r="AX190" s="384">
        <f t="shared" si="189"/>
        <v>0</v>
      </c>
      <c r="AY190" s="384"/>
      <c r="AZ190" s="384"/>
      <c r="BA190" s="384"/>
      <c r="BB190" s="386"/>
      <c r="BC190" s="384">
        <f t="shared" si="192"/>
        <v>5.8207660913467407E-11</v>
      </c>
      <c r="BD190" s="384"/>
      <c r="BE190" s="384"/>
      <c r="BF190" s="384"/>
      <c r="BG190" s="384">
        <f t="shared" si="193"/>
        <v>0</v>
      </c>
      <c r="BH190" s="384"/>
      <c r="BI190" s="384"/>
      <c r="BJ190" s="384"/>
      <c r="BK190" s="384"/>
      <c r="BL190" s="384">
        <f t="shared" si="190"/>
        <v>0</v>
      </c>
      <c r="BM190" s="384"/>
      <c r="BN190" s="384"/>
      <c r="BO190" s="384"/>
      <c r="BP190" s="384"/>
      <c r="BQ190" s="384">
        <f t="shared" si="191"/>
        <v>0</v>
      </c>
      <c r="BR190" s="384"/>
      <c r="BS190" s="384"/>
      <c r="BT190" s="384"/>
      <c r="BU190" s="386"/>
      <c r="BV190" s="384">
        <f t="shared" si="185"/>
        <v>5.8207660913467407E-11</v>
      </c>
    </row>
    <row r="191" spans="1:74" ht="40.15" customHeight="1" x14ac:dyDescent="0.25">
      <c r="A191" s="382" t="s">
        <v>116</v>
      </c>
      <c r="B191" s="383" t="s">
        <v>14</v>
      </c>
      <c r="C191" s="374">
        <v>226</v>
      </c>
      <c r="D191" s="387" t="s">
        <v>600</v>
      </c>
      <c r="E191" s="384">
        <f t="shared" si="194"/>
        <v>3360863.62</v>
      </c>
      <c r="F191" s="384"/>
      <c r="G191" s="384"/>
      <c r="H191" s="384"/>
      <c r="I191" s="384">
        <v>3360863.62</v>
      </c>
      <c r="J191" s="384">
        <f t="shared" si="180"/>
        <v>0</v>
      </c>
      <c r="K191" s="384"/>
      <c r="L191" s="384"/>
      <c r="M191" s="384"/>
      <c r="N191" s="384"/>
      <c r="O191" s="384">
        <f t="shared" si="195"/>
        <v>2248264.0699999998</v>
      </c>
      <c r="P191" s="384"/>
      <c r="Q191" s="384"/>
      <c r="R191" s="384"/>
      <c r="S191" s="384">
        <v>2248264.0699999998</v>
      </c>
      <c r="T191" s="384">
        <f t="shared" si="181"/>
        <v>0</v>
      </c>
      <c r="U191" s="384"/>
      <c r="V191" s="384"/>
      <c r="W191" s="384"/>
      <c r="X191" s="384"/>
      <c r="Y191" s="384">
        <f t="shared" si="186"/>
        <v>0</v>
      </c>
      <c r="Z191" s="384"/>
      <c r="AA191" s="384"/>
      <c r="AB191" s="384"/>
      <c r="AC191" s="386">
        <v>0</v>
      </c>
      <c r="AD191" s="384">
        <f t="shared" si="187"/>
        <v>1112599.55</v>
      </c>
      <c r="AE191" s="384"/>
      <c r="AF191" s="384"/>
      <c r="AG191" s="384"/>
      <c r="AH191" s="386">
        <v>1112599.55</v>
      </c>
      <c r="AI191" s="384">
        <f t="shared" si="188"/>
        <v>0</v>
      </c>
      <c r="AJ191" s="384"/>
      <c r="AK191" s="384"/>
      <c r="AL191" s="384"/>
      <c r="AM191" s="386"/>
      <c r="AN191" s="384">
        <v>0</v>
      </c>
      <c r="AO191" s="384"/>
      <c r="AP191" s="384"/>
      <c r="AQ191" s="384"/>
      <c r="AR191" s="386"/>
      <c r="AS191" s="384">
        <v>0</v>
      </c>
      <c r="AT191" s="384"/>
      <c r="AU191" s="384"/>
      <c r="AV191" s="384"/>
      <c r="AW191" s="386"/>
      <c r="AX191" s="384">
        <f t="shared" si="189"/>
        <v>0</v>
      </c>
      <c r="AY191" s="384"/>
      <c r="AZ191" s="384"/>
      <c r="BA191" s="384"/>
      <c r="BB191" s="386"/>
      <c r="BC191" s="384">
        <f t="shared" si="192"/>
        <v>2.3283064365386963E-10</v>
      </c>
      <c r="BD191" s="384"/>
      <c r="BE191" s="384"/>
      <c r="BF191" s="384"/>
      <c r="BG191" s="384">
        <f t="shared" si="193"/>
        <v>0</v>
      </c>
      <c r="BH191" s="384"/>
      <c r="BI191" s="384"/>
      <c r="BJ191" s="384"/>
      <c r="BK191" s="384"/>
      <c r="BL191" s="384">
        <f t="shared" si="190"/>
        <v>0</v>
      </c>
      <c r="BM191" s="384"/>
      <c r="BN191" s="384"/>
      <c r="BO191" s="384"/>
      <c r="BP191" s="384"/>
      <c r="BQ191" s="384">
        <f t="shared" si="191"/>
        <v>0</v>
      </c>
      <c r="BR191" s="384"/>
      <c r="BS191" s="384"/>
      <c r="BT191" s="384"/>
      <c r="BU191" s="386"/>
      <c r="BV191" s="384">
        <f t="shared" si="185"/>
        <v>2.3283064365386963E-10</v>
      </c>
    </row>
    <row r="192" spans="1:74" ht="42.6" customHeight="1" x14ac:dyDescent="0.25">
      <c r="A192" s="382" t="s">
        <v>117</v>
      </c>
      <c r="B192" s="383" t="s">
        <v>270</v>
      </c>
      <c r="C192" s="374">
        <v>226</v>
      </c>
      <c r="D192" s="387" t="s">
        <v>606</v>
      </c>
      <c r="E192" s="384">
        <f t="shared" si="194"/>
        <v>36990.980000000003</v>
      </c>
      <c r="F192" s="384"/>
      <c r="G192" s="384"/>
      <c r="H192" s="384"/>
      <c r="I192" s="384">
        <v>36990.980000000003</v>
      </c>
      <c r="J192" s="384">
        <f t="shared" si="180"/>
        <v>0</v>
      </c>
      <c r="K192" s="384"/>
      <c r="L192" s="384"/>
      <c r="M192" s="384"/>
      <c r="N192" s="384"/>
      <c r="O192" s="384">
        <f t="shared" si="195"/>
        <v>0</v>
      </c>
      <c r="P192" s="384"/>
      <c r="Q192" s="384"/>
      <c r="R192" s="384"/>
      <c r="S192" s="384"/>
      <c r="T192" s="384">
        <f t="shared" si="181"/>
        <v>0</v>
      </c>
      <c r="U192" s="384"/>
      <c r="V192" s="384"/>
      <c r="W192" s="384"/>
      <c r="X192" s="384"/>
      <c r="Y192" s="384">
        <f t="shared" si="186"/>
        <v>36990.980000000003</v>
      </c>
      <c r="Z192" s="384"/>
      <c r="AA192" s="384"/>
      <c r="AB192" s="384"/>
      <c r="AC192" s="386">
        <v>36990.980000000003</v>
      </c>
      <c r="AD192" s="384">
        <f t="shared" si="187"/>
        <v>0</v>
      </c>
      <c r="AE192" s="384"/>
      <c r="AF192" s="384"/>
      <c r="AG192" s="384"/>
      <c r="AH192" s="386"/>
      <c r="AI192" s="384">
        <f t="shared" si="188"/>
        <v>0</v>
      </c>
      <c r="AJ192" s="384"/>
      <c r="AK192" s="384"/>
      <c r="AL192" s="384"/>
      <c r="AM192" s="386"/>
      <c r="AN192" s="384">
        <v>0</v>
      </c>
      <c r="AO192" s="384"/>
      <c r="AP192" s="384"/>
      <c r="AQ192" s="384"/>
      <c r="AR192" s="386"/>
      <c r="AS192" s="384">
        <v>0</v>
      </c>
      <c r="AT192" s="384"/>
      <c r="AU192" s="384"/>
      <c r="AV192" s="384"/>
      <c r="AW192" s="386"/>
      <c r="AX192" s="384">
        <f t="shared" si="189"/>
        <v>0</v>
      </c>
      <c r="AY192" s="384"/>
      <c r="AZ192" s="384"/>
      <c r="BA192" s="384"/>
      <c r="BB192" s="386"/>
      <c r="BC192" s="384">
        <f t="shared" si="192"/>
        <v>0</v>
      </c>
      <c r="BD192" s="384"/>
      <c r="BE192" s="384"/>
      <c r="BF192" s="384"/>
      <c r="BG192" s="384">
        <f t="shared" si="193"/>
        <v>0</v>
      </c>
      <c r="BH192" s="384"/>
      <c r="BI192" s="384"/>
      <c r="BJ192" s="384"/>
      <c r="BK192" s="384"/>
      <c r="BL192" s="384">
        <f t="shared" si="190"/>
        <v>0</v>
      </c>
      <c r="BM192" s="384"/>
      <c r="BN192" s="384"/>
      <c r="BO192" s="384"/>
      <c r="BP192" s="384"/>
      <c r="BQ192" s="384">
        <f t="shared" si="191"/>
        <v>0</v>
      </c>
      <c r="BR192" s="384"/>
      <c r="BS192" s="384"/>
      <c r="BT192" s="384"/>
      <c r="BU192" s="386"/>
      <c r="BV192" s="384">
        <f t="shared" si="185"/>
        <v>0</v>
      </c>
    </row>
    <row r="193" spans="1:74" ht="43.9" customHeight="1" x14ac:dyDescent="0.25">
      <c r="A193" s="382" t="s">
        <v>218</v>
      </c>
      <c r="B193" s="383" t="s">
        <v>21</v>
      </c>
      <c r="C193" s="374">
        <v>226</v>
      </c>
      <c r="D193" s="387" t="s">
        <v>607</v>
      </c>
      <c r="E193" s="384">
        <f t="shared" si="194"/>
        <v>99325</v>
      </c>
      <c r="F193" s="384"/>
      <c r="G193" s="384"/>
      <c r="H193" s="384"/>
      <c r="I193" s="384">
        <v>99325</v>
      </c>
      <c r="J193" s="384">
        <f t="shared" si="180"/>
        <v>0</v>
      </c>
      <c r="K193" s="384"/>
      <c r="L193" s="384"/>
      <c r="M193" s="384"/>
      <c r="N193" s="384"/>
      <c r="O193" s="384">
        <f t="shared" si="195"/>
        <v>99325</v>
      </c>
      <c r="P193" s="384"/>
      <c r="Q193" s="384"/>
      <c r="R193" s="384"/>
      <c r="S193" s="384">
        <v>99325</v>
      </c>
      <c r="T193" s="384">
        <f t="shared" si="181"/>
        <v>0</v>
      </c>
      <c r="U193" s="384"/>
      <c r="V193" s="384"/>
      <c r="W193" s="384"/>
      <c r="X193" s="384"/>
      <c r="Y193" s="384">
        <f t="shared" si="186"/>
        <v>0</v>
      </c>
      <c r="Z193" s="384"/>
      <c r="AA193" s="384"/>
      <c r="AB193" s="384"/>
      <c r="AC193" s="386"/>
      <c r="AD193" s="384">
        <f t="shared" si="187"/>
        <v>0</v>
      </c>
      <c r="AE193" s="384"/>
      <c r="AF193" s="384"/>
      <c r="AG193" s="384"/>
      <c r="AH193" s="386"/>
      <c r="AI193" s="384">
        <f t="shared" si="188"/>
        <v>0</v>
      </c>
      <c r="AJ193" s="384"/>
      <c r="AK193" s="384"/>
      <c r="AL193" s="384"/>
      <c r="AM193" s="386"/>
      <c r="AN193" s="384">
        <v>0</v>
      </c>
      <c r="AO193" s="384"/>
      <c r="AP193" s="384"/>
      <c r="AQ193" s="384"/>
      <c r="AR193" s="386"/>
      <c r="AS193" s="384">
        <v>0</v>
      </c>
      <c r="AT193" s="384"/>
      <c r="AU193" s="384"/>
      <c r="AV193" s="384"/>
      <c r="AW193" s="386"/>
      <c r="AX193" s="384">
        <f t="shared" si="189"/>
        <v>0</v>
      </c>
      <c r="AY193" s="384"/>
      <c r="AZ193" s="384"/>
      <c r="BA193" s="384"/>
      <c r="BB193" s="386"/>
      <c r="BC193" s="384">
        <f t="shared" si="192"/>
        <v>0</v>
      </c>
      <c r="BD193" s="384"/>
      <c r="BE193" s="384"/>
      <c r="BF193" s="384"/>
      <c r="BG193" s="384">
        <f t="shared" si="193"/>
        <v>0</v>
      </c>
      <c r="BH193" s="384"/>
      <c r="BI193" s="384"/>
      <c r="BJ193" s="384"/>
      <c r="BK193" s="384"/>
      <c r="BL193" s="384">
        <f t="shared" si="190"/>
        <v>0</v>
      </c>
      <c r="BM193" s="384"/>
      <c r="BN193" s="384"/>
      <c r="BO193" s="384"/>
      <c r="BP193" s="384"/>
      <c r="BQ193" s="384">
        <f t="shared" si="191"/>
        <v>0</v>
      </c>
      <c r="BR193" s="384"/>
      <c r="BS193" s="384"/>
      <c r="BT193" s="384"/>
      <c r="BU193" s="386"/>
      <c r="BV193" s="384">
        <f t="shared" si="185"/>
        <v>0</v>
      </c>
    </row>
    <row r="194" spans="1:74" ht="52.9" customHeight="1" x14ac:dyDescent="0.25">
      <c r="A194" s="382" t="s">
        <v>250</v>
      </c>
      <c r="B194" s="383" t="s">
        <v>208</v>
      </c>
      <c r="C194" s="374">
        <v>226</v>
      </c>
      <c r="D194" s="387" t="s">
        <v>608</v>
      </c>
      <c r="E194" s="384">
        <f t="shared" si="194"/>
        <v>58020.91</v>
      </c>
      <c r="F194" s="384"/>
      <c r="G194" s="384"/>
      <c r="H194" s="384"/>
      <c r="I194" s="384">
        <v>58020.91</v>
      </c>
      <c r="J194" s="384">
        <f t="shared" si="180"/>
        <v>0</v>
      </c>
      <c r="K194" s="384"/>
      <c r="L194" s="384"/>
      <c r="M194" s="384"/>
      <c r="N194" s="384"/>
      <c r="O194" s="384">
        <f t="shared" si="195"/>
        <v>0</v>
      </c>
      <c r="P194" s="384"/>
      <c r="Q194" s="384"/>
      <c r="R194" s="384"/>
      <c r="S194" s="384"/>
      <c r="T194" s="384">
        <f t="shared" si="181"/>
        <v>58020.91</v>
      </c>
      <c r="U194" s="384"/>
      <c r="V194" s="384"/>
      <c r="W194" s="384"/>
      <c r="X194" s="384">
        <v>58020.91</v>
      </c>
      <c r="Y194" s="384">
        <f t="shared" si="186"/>
        <v>0</v>
      </c>
      <c r="Z194" s="384"/>
      <c r="AA194" s="384"/>
      <c r="AB194" s="384"/>
      <c r="AC194" s="386"/>
      <c r="AD194" s="384">
        <f t="shared" si="187"/>
        <v>0</v>
      </c>
      <c r="AE194" s="384"/>
      <c r="AF194" s="384"/>
      <c r="AG194" s="384"/>
      <c r="AH194" s="386"/>
      <c r="AI194" s="384">
        <f t="shared" si="188"/>
        <v>0</v>
      </c>
      <c r="AJ194" s="384"/>
      <c r="AK194" s="384"/>
      <c r="AL194" s="384"/>
      <c r="AM194" s="386"/>
      <c r="AN194" s="384">
        <v>0</v>
      </c>
      <c r="AO194" s="384"/>
      <c r="AP194" s="384"/>
      <c r="AQ194" s="384"/>
      <c r="AR194" s="386"/>
      <c r="AS194" s="384">
        <v>0</v>
      </c>
      <c r="AT194" s="384"/>
      <c r="AU194" s="384"/>
      <c r="AV194" s="384"/>
      <c r="AW194" s="386"/>
      <c r="AX194" s="384">
        <f t="shared" si="189"/>
        <v>0</v>
      </c>
      <c r="AY194" s="384"/>
      <c r="AZ194" s="384"/>
      <c r="BA194" s="384"/>
      <c r="BB194" s="386"/>
      <c r="BC194" s="384">
        <f t="shared" si="192"/>
        <v>0</v>
      </c>
      <c r="BD194" s="384"/>
      <c r="BE194" s="384"/>
      <c r="BF194" s="384"/>
      <c r="BG194" s="384">
        <f t="shared" si="193"/>
        <v>0</v>
      </c>
      <c r="BH194" s="384"/>
      <c r="BI194" s="384"/>
      <c r="BJ194" s="384"/>
      <c r="BK194" s="384"/>
      <c r="BL194" s="384">
        <f t="shared" si="190"/>
        <v>0</v>
      </c>
      <c r="BM194" s="384"/>
      <c r="BN194" s="384"/>
      <c r="BO194" s="384"/>
      <c r="BP194" s="384"/>
      <c r="BQ194" s="384">
        <f t="shared" si="191"/>
        <v>0</v>
      </c>
      <c r="BR194" s="384"/>
      <c r="BS194" s="384"/>
      <c r="BT194" s="384"/>
      <c r="BU194" s="386"/>
      <c r="BV194" s="384">
        <f t="shared" si="185"/>
        <v>0</v>
      </c>
    </row>
    <row r="195" spans="1:74" ht="38.450000000000003" customHeight="1" x14ac:dyDescent="0.25">
      <c r="A195" s="382" t="s">
        <v>423</v>
      </c>
      <c r="B195" s="388" t="s">
        <v>248</v>
      </c>
      <c r="C195" s="377">
        <v>226</v>
      </c>
      <c r="D195" s="390" t="s">
        <v>509</v>
      </c>
      <c r="E195" s="384">
        <f>F195+G195+H195+I195</f>
        <v>1239</v>
      </c>
      <c r="F195" s="384"/>
      <c r="G195" s="384"/>
      <c r="H195" s="384"/>
      <c r="I195" s="384">
        <v>1239</v>
      </c>
      <c r="J195" s="384">
        <f>K195+L195+M195+N195</f>
        <v>0</v>
      </c>
      <c r="K195" s="384"/>
      <c r="L195" s="384"/>
      <c r="M195" s="384"/>
      <c r="N195" s="384"/>
      <c r="O195" s="384">
        <f>P195+Q195+R195+S195</f>
        <v>0</v>
      </c>
      <c r="P195" s="384"/>
      <c r="Q195" s="384"/>
      <c r="R195" s="384"/>
      <c r="S195" s="384"/>
      <c r="T195" s="384">
        <f>U195+V195+W195+X195</f>
        <v>1239</v>
      </c>
      <c r="U195" s="384"/>
      <c r="V195" s="384"/>
      <c r="W195" s="384"/>
      <c r="X195" s="384">
        <v>1239</v>
      </c>
      <c r="Y195" s="384">
        <f>SUM(Z195:AC195)</f>
        <v>0</v>
      </c>
      <c r="Z195" s="384"/>
      <c r="AA195" s="384"/>
      <c r="AB195" s="384"/>
      <c r="AC195" s="386"/>
      <c r="AD195" s="384">
        <f>SUM(AE195:AH195)</f>
        <v>0</v>
      </c>
      <c r="AE195" s="384"/>
      <c r="AF195" s="384"/>
      <c r="AG195" s="384"/>
      <c r="AH195" s="386"/>
      <c r="AI195" s="384">
        <f>SUM(AJ195:AM195)</f>
        <v>0</v>
      </c>
      <c r="AJ195" s="384"/>
      <c r="AK195" s="384"/>
      <c r="AL195" s="384"/>
      <c r="AM195" s="386"/>
      <c r="AN195" s="384">
        <v>0</v>
      </c>
      <c r="AO195" s="384"/>
      <c r="AP195" s="384"/>
      <c r="AQ195" s="384"/>
      <c r="AR195" s="386"/>
      <c r="AS195" s="384">
        <v>0</v>
      </c>
      <c r="AT195" s="384"/>
      <c r="AU195" s="384"/>
      <c r="AV195" s="384"/>
      <c r="AW195" s="386"/>
      <c r="AX195" s="384">
        <f>SUM(AY195:BB195)</f>
        <v>0</v>
      </c>
      <c r="AY195" s="384"/>
      <c r="AZ195" s="384"/>
      <c r="BA195" s="384"/>
      <c r="BB195" s="386"/>
      <c r="BC195" s="384">
        <f t="shared" si="192"/>
        <v>0</v>
      </c>
      <c r="BD195" s="384"/>
      <c r="BE195" s="384"/>
      <c r="BF195" s="384"/>
      <c r="BG195" s="384">
        <f>SUM(BH195:BK195)</f>
        <v>0</v>
      </c>
      <c r="BH195" s="384"/>
      <c r="BI195" s="384"/>
      <c r="BJ195" s="384"/>
      <c r="BK195" s="384"/>
      <c r="BL195" s="384">
        <f>BM195+BN195+BO195+BP195</f>
        <v>0</v>
      </c>
      <c r="BM195" s="384"/>
      <c r="BN195" s="384"/>
      <c r="BO195" s="384"/>
      <c r="BP195" s="384"/>
      <c r="BQ195" s="384">
        <f>SUM(BR195:BU195)</f>
        <v>0</v>
      </c>
      <c r="BR195" s="384"/>
      <c r="BS195" s="384"/>
      <c r="BT195" s="384"/>
      <c r="BU195" s="386"/>
      <c r="BV195" s="384">
        <f t="shared" si="185"/>
        <v>0</v>
      </c>
    </row>
    <row r="196" spans="1:74" ht="54" customHeight="1" x14ac:dyDescent="0.25">
      <c r="A196" s="382" t="s">
        <v>437</v>
      </c>
      <c r="B196" s="388" t="s">
        <v>449</v>
      </c>
      <c r="C196" s="377">
        <v>226</v>
      </c>
      <c r="D196" s="387" t="s">
        <v>609</v>
      </c>
      <c r="E196" s="384">
        <f t="shared" si="194"/>
        <v>1109.32</v>
      </c>
      <c r="F196" s="384"/>
      <c r="G196" s="384"/>
      <c r="H196" s="384"/>
      <c r="I196" s="384">
        <v>1109.32</v>
      </c>
      <c r="J196" s="384">
        <f t="shared" si="180"/>
        <v>0</v>
      </c>
      <c r="K196" s="384"/>
      <c r="L196" s="384"/>
      <c r="M196" s="384"/>
      <c r="N196" s="384"/>
      <c r="O196" s="384">
        <f t="shared" si="195"/>
        <v>0</v>
      </c>
      <c r="P196" s="384"/>
      <c r="Q196" s="384"/>
      <c r="R196" s="384"/>
      <c r="S196" s="384"/>
      <c r="T196" s="384">
        <f t="shared" si="181"/>
        <v>0</v>
      </c>
      <c r="U196" s="384"/>
      <c r="V196" s="384"/>
      <c r="W196" s="384"/>
      <c r="X196" s="384"/>
      <c r="Y196" s="384">
        <f t="shared" si="186"/>
        <v>0</v>
      </c>
      <c r="Z196" s="384"/>
      <c r="AA196" s="384"/>
      <c r="AB196" s="384"/>
      <c r="AC196" s="386"/>
      <c r="AD196" s="384">
        <f t="shared" ref="AD196" si="196">SUM(AE196:AH196)</f>
        <v>1109.32</v>
      </c>
      <c r="AE196" s="384"/>
      <c r="AF196" s="384"/>
      <c r="AG196" s="384"/>
      <c r="AH196" s="386">
        <v>1109.32</v>
      </c>
      <c r="AI196" s="384">
        <f t="shared" ref="AI196" si="197">SUM(AJ196:AM196)</f>
        <v>0</v>
      </c>
      <c r="AJ196" s="384"/>
      <c r="AK196" s="384"/>
      <c r="AL196" s="384"/>
      <c r="AM196" s="386"/>
      <c r="AN196" s="384">
        <v>0</v>
      </c>
      <c r="AO196" s="384"/>
      <c r="AP196" s="384"/>
      <c r="AQ196" s="384"/>
      <c r="AR196" s="386"/>
      <c r="AS196" s="384">
        <v>0</v>
      </c>
      <c r="AT196" s="384"/>
      <c r="AU196" s="384"/>
      <c r="AV196" s="384"/>
      <c r="AW196" s="386"/>
      <c r="AX196" s="384">
        <f t="shared" ref="AX196:AX197" si="198">SUM(AY196:BB196)</f>
        <v>0</v>
      </c>
      <c r="AY196" s="384"/>
      <c r="AZ196" s="384"/>
      <c r="BA196" s="384"/>
      <c r="BB196" s="386"/>
      <c r="BC196" s="384">
        <f t="shared" si="192"/>
        <v>0</v>
      </c>
      <c r="BD196" s="384"/>
      <c r="BE196" s="384"/>
      <c r="BF196" s="384"/>
      <c r="BG196" s="384">
        <f t="shared" si="193"/>
        <v>0</v>
      </c>
      <c r="BH196" s="384"/>
      <c r="BI196" s="384"/>
      <c r="BJ196" s="384"/>
      <c r="BK196" s="384"/>
      <c r="BL196" s="384">
        <f t="shared" si="190"/>
        <v>0</v>
      </c>
      <c r="BM196" s="384"/>
      <c r="BN196" s="384"/>
      <c r="BO196" s="384"/>
      <c r="BP196" s="384"/>
      <c r="BQ196" s="384">
        <f t="shared" si="191"/>
        <v>0</v>
      </c>
      <c r="BR196" s="384"/>
      <c r="BS196" s="384"/>
      <c r="BT196" s="384"/>
      <c r="BU196" s="386"/>
      <c r="BV196" s="384">
        <f t="shared" si="185"/>
        <v>0</v>
      </c>
    </row>
    <row r="197" spans="1:74" ht="54" customHeight="1" x14ac:dyDescent="0.25">
      <c r="A197" s="382" t="s">
        <v>695</v>
      </c>
      <c r="B197" s="388" t="s">
        <v>697</v>
      </c>
      <c r="C197" s="377">
        <v>223</v>
      </c>
      <c r="D197" s="390" t="s">
        <v>741</v>
      </c>
      <c r="E197" s="384">
        <f t="shared" si="194"/>
        <v>0</v>
      </c>
      <c r="F197" s="384"/>
      <c r="G197" s="384"/>
      <c r="H197" s="384"/>
      <c r="I197" s="384">
        <v>0</v>
      </c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6"/>
      <c r="AD197" s="384"/>
      <c r="AE197" s="384"/>
      <c r="AF197" s="384"/>
      <c r="AG197" s="384"/>
      <c r="AH197" s="386"/>
      <c r="AI197" s="384"/>
      <c r="AJ197" s="384"/>
      <c r="AK197" s="384"/>
      <c r="AL197" s="384"/>
      <c r="AM197" s="386"/>
      <c r="AN197" s="384">
        <v>0</v>
      </c>
      <c r="AO197" s="384"/>
      <c r="AP197" s="384"/>
      <c r="AQ197" s="384"/>
      <c r="AR197" s="386"/>
      <c r="AS197" s="384">
        <v>0</v>
      </c>
      <c r="AT197" s="384"/>
      <c r="AU197" s="384"/>
      <c r="AV197" s="384"/>
      <c r="AW197" s="386"/>
      <c r="AX197" s="384">
        <f t="shared" si="198"/>
        <v>0</v>
      </c>
      <c r="AY197" s="384"/>
      <c r="AZ197" s="384"/>
      <c r="BA197" s="384"/>
      <c r="BB197" s="386"/>
      <c r="BC197" s="384">
        <f t="shared" si="192"/>
        <v>0</v>
      </c>
      <c r="BD197" s="384"/>
      <c r="BE197" s="384"/>
      <c r="BF197" s="384"/>
      <c r="BG197" s="384">
        <f t="shared" si="193"/>
        <v>0</v>
      </c>
      <c r="BH197" s="384"/>
      <c r="BI197" s="384"/>
      <c r="BJ197" s="384"/>
      <c r="BK197" s="384"/>
      <c r="BL197" s="384">
        <f t="shared" si="190"/>
        <v>0</v>
      </c>
      <c r="BM197" s="384"/>
      <c r="BN197" s="384"/>
      <c r="BO197" s="384"/>
      <c r="BP197" s="384"/>
      <c r="BQ197" s="384">
        <f t="shared" si="191"/>
        <v>0</v>
      </c>
      <c r="BR197" s="384"/>
      <c r="BS197" s="384"/>
      <c r="BT197" s="384"/>
      <c r="BU197" s="386"/>
      <c r="BV197" s="384">
        <f t="shared" si="185"/>
        <v>0</v>
      </c>
    </row>
    <row r="198" spans="1:74" ht="97.9" customHeight="1" x14ac:dyDescent="0.25">
      <c r="A198" s="382" t="s">
        <v>696</v>
      </c>
      <c r="B198" s="388" t="s">
        <v>464</v>
      </c>
      <c r="C198" s="377">
        <v>223</v>
      </c>
      <c r="D198" s="390" t="s">
        <v>669</v>
      </c>
      <c r="E198" s="384">
        <f>F198+G198+H198+I198</f>
        <v>0</v>
      </c>
      <c r="F198" s="384"/>
      <c r="G198" s="384"/>
      <c r="H198" s="384"/>
      <c r="I198" s="384">
        <v>0</v>
      </c>
      <c r="J198" s="384">
        <f t="shared" si="180"/>
        <v>0</v>
      </c>
      <c r="K198" s="384"/>
      <c r="L198" s="384"/>
      <c r="M198" s="384"/>
      <c r="N198" s="384"/>
      <c r="O198" s="384">
        <f t="shared" si="195"/>
        <v>0</v>
      </c>
      <c r="P198" s="384"/>
      <c r="Q198" s="384"/>
      <c r="R198" s="384"/>
      <c r="S198" s="384"/>
      <c r="T198" s="384">
        <f t="shared" si="181"/>
        <v>0</v>
      </c>
      <c r="U198" s="384"/>
      <c r="V198" s="384"/>
      <c r="W198" s="384"/>
      <c r="X198" s="384"/>
      <c r="Y198" s="384">
        <f>Z198+AA198+AB198+AC198</f>
        <v>0</v>
      </c>
      <c r="Z198" s="384"/>
      <c r="AA198" s="384"/>
      <c r="AB198" s="384"/>
      <c r="AC198" s="386"/>
      <c r="AD198" s="384">
        <f>SUM(AE198:AH198)</f>
        <v>0</v>
      </c>
      <c r="AE198" s="384"/>
      <c r="AF198" s="384"/>
      <c r="AG198" s="384"/>
      <c r="AH198" s="386">
        <v>0</v>
      </c>
      <c r="AI198" s="384">
        <f>SUM(AJ198:AM198)</f>
        <v>0</v>
      </c>
      <c r="AJ198" s="384"/>
      <c r="AK198" s="384"/>
      <c r="AL198" s="384"/>
      <c r="AM198" s="386"/>
      <c r="AN198" s="384">
        <v>0</v>
      </c>
      <c r="AO198" s="384"/>
      <c r="AP198" s="384"/>
      <c r="AQ198" s="384"/>
      <c r="AR198" s="386"/>
      <c r="AS198" s="384">
        <v>0</v>
      </c>
      <c r="AT198" s="384"/>
      <c r="AU198" s="384"/>
      <c r="AV198" s="384"/>
      <c r="AW198" s="386"/>
      <c r="AX198" s="384">
        <f>SUM(AY198:BB198)</f>
        <v>0</v>
      </c>
      <c r="AY198" s="384"/>
      <c r="AZ198" s="384"/>
      <c r="BA198" s="384"/>
      <c r="BB198" s="386"/>
      <c r="BC198" s="384">
        <f t="shared" si="192"/>
        <v>0</v>
      </c>
      <c r="BD198" s="384"/>
      <c r="BE198" s="384"/>
      <c r="BF198" s="384"/>
      <c r="BG198" s="384">
        <f>SUM(BH198:BK198)</f>
        <v>0</v>
      </c>
      <c r="BH198" s="384"/>
      <c r="BI198" s="384"/>
      <c r="BJ198" s="384"/>
      <c r="BK198" s="384"/>
      <c r="BL198" s="384">
        <f t="shared" si="190"/>
        <v>0</v>
      </c>
      <c r="BM198" s="384"/>
      <c r="BN198" s="384"/>
      <c r="BO198" s="384"/>
      <c r="BP198" s="384"/>
      <c r="BQ198" s="384">
        <f>SUM(BR198:BU198)</f>
        <v>0</v>
      </c>
      <c r="BR198" s="384"/>
      <c r="BS198" s="384"/>
      <c r="BT198" s="384"/>
      <c r="BU198" s="386"/>
      <c r="BV198" s="384">
        <f t="shared" si="185"/>
        <v>0</v>
      </c>
    </row>
    <row r="199" spans="1:74" ht="97.9" customHeight="1" x14ac:dyDescent="0.25">
      <c r="A199" s="382" t="s">
        <v>674</v>
      </c>
      <c r="B199" s="383" t="s">
        <v>762</v>
      </c>
      <c r="C199" s="374">
        <v>310</v>
      </c>
      <c r="D199" s="387"/>
      <c r="E199" s="384">
        <f>I199+H199+G199+F199</f>
        <v>3327779</v>
      </c>
      <c r="F199" s="384"/>
      <c r="G199" s="384"/>
      <c r="H199" s="384"/>
      <c r="I199" s="384">
        <f>1857779+1470000</f>
        <v>3327779</v>
      </c>
      <c r="J199" s="384">
        <v>0</v>
      </c>
      <c r="K199" s="384"/>
      <c r="L199" s="384"/>
      <c r="M199" s="384"/>
      <c r="N199" s="384"/>
      <c r="O199" s="384">
        <v>0</v>
      </c>
      <c r="P199" s="384"/>
      <c r="Q199" s="384"/>
      <c r="R199" s="384"/>
      <c r="S199" s="384"/>
      <c r="T199" s="384">
        <v>0</v>
      </c>
      <c r="U199" s="384"/>
      <c r="V199" s="384"/>
      <c r="W199" s="384"/>
      <c r="X199" s="384"/>
      <c r="Y199" s="384">
        <v>0</v>
      </c>
      <c r="Z199" s="384"/>
      <c r="AA199" s="384"/>
      <c r="AB199" s="384"/>
      <c r="AC199" s="384"/>
      <c r="AD199" s="384">
        <v>0</v>
      </c>
      <c r="AE199" s="384"/>
      <c r="AF199" s="384"/>
      <c r="AG199" s="384"/>
      <c r="AH199" s="384"/>
      <c r="AI199" s="384">
        <v>0</v>
      </c>
      <c r="AJ199" s="384"/>
      <c r="AK199" s="384"/>
      <c r="AL199" s="384"/>
      <c r="AM199" s="384"/>
      <c r="AN199" s="384">
        <v>0</v>
      </c>
      <c r="AO199" s="384"/>
      <c r="AP199" s="384"/>
      <c r="AQ199" s="384"/>
      <c r="AR199" s="384"/>
      <c r="AS199" s="384">
        <v>1857779</v>
      </c>
      <c r="AT199" s="384"/>
      <c r="AU199" s="384"/>
      <c r="AV199" s="384"/>
      <c r="AW199" s="384">
        <v>1857779</v>
      </c>
      <c r="AX199" s="384">
        <f>SUM(AY199:BB199)</f>
        <v>1470000</v>
      </c>
      <c r="AY199" s="384"/>
      <c r="AZ199" s="384"/>
      <c r="BA199" s="384"/>
      <c r="BB199" s="384">
        <v>1470000</v>
      </c>
      <c r="BC199" s="384">
        <f>E199-J199-O199-T199-Y199-AD199-AI199-AN199-AS199-AX199</f>
        <v>0</v>
      </c>
      <c r="BD199" s="384">
        <v>74.400000000000006</v>
      </c>
      <c r="BE199" s="384"/>
      <c r="BF199" s="384"/>
      <c r="BG199" s="384">
        <f>BK199</f>
        <v>0</v>
      </c>
      <c r="BH199" s="384"/>
      <c r="BI199" s="384"/>
      <c r="BJ199" s="384"/>
      <c r="BK199" s="384"/>
      <c r="BL199" s="384">
        <f t="shared" si="190"/>
        <v>0</v>
      </c>
      <c r="BM199" s="384"/>
      <c r="BN199" s="384"/>
      <c r="BO199" s="384"/>
      <c r="BP199" s="384"/>
      <c r="BQ199" s="384">
        <f>SUM(BR199:BU199)</f>
        <v>0</v>
      </c>
      <c r="BR199" s="384"/>
      <c r="BS199" s="384"/>
      <c r="BT199" s="384"/>
      <c r="BU199" s="384"/>
      <c r="BV199" s="384">
        <f t="shared" si="185"/>
        <v>0</v>
      </c>
    </row>
    <row r="200" spans="1:74" ht="22.9" customHeight="1" x14ac:dyDescent="0.25">
      <c r="A200" s="408" t="s">
        <v>226</v>
      </c>
      <c r="B200" s="409"/>
      <c r="C200" s="374"/>
      <c r="D200" s="387"/>
      <c r="E200" s="384">
        <f t="shared" ref="E200:BC200" si="199">E7+E43+E71+E108+E132+E157+E178+E207</f>
        <v>623689843.22000003</v>
      </c>
      <c r="F200" s="384">
        <f t="shared" si="199"/>
        <v>98424169.649999991</v>
      </c>
      <c r="G200" s="384">
        <f t="shared" si="199"/>
        <v>230634189.31999999</v>
      </c>
      <c r="H200" s="384">
        <f t="shared" si="199"/>
        <v>28139849.41</v>
      </c>
      <c r="I200" s="384">
        <f t="shared" si="199"/>
        <v>266491634.84</v>
      </c>
      <c r="J200" s="384">
        <f t="shared" si="199"/>
        <v>1656913.57</v>
      </c>
      <c r="K200" s="384">
        <f t="shared" si="199"/>
        <v>0</v>
      </c>
      <c r="L200" s="384">
        <f t="shared" si="199"/>
        <v>0</v>
      </c>
      <c r="M200" s="384">
        <f t="shared" si="199"/>
        <v>0</v>
      </c>
      <c r="N200" s="384">
        <f t="shared" si="199"/>
        <v>1656913.57</v>
      </c>
      <c r="O200" s="384">
        <f t="shared" si="199"/>
        <v>80881256.609999999</v>
      </c>
      <c r="P200" s="384">
        <f t="shared" si="199"/>
        <v>14444674.33</v>
      </c>
      <c r="Q200" s="384">
        <f t="shared" si="199"/>
        <v>34925369.359999999</v>
      </c>
      <c r="R200" s="384">
        <f t="shared" si="199"/>
        <v>4188259.3000000003</v>
      </c>
      <c r="S200" s="384">
        <f t="shared" si="199"/>
        <v>27322953.619999997</v>
      </c>
      <c r="T200" s="384">
        <f t="shared" si="199"/>
        <v>345798333.02999997</v>
      </c>
      <c r="U200" s="384">
        <f t="shared" si="199"/>
        <v>71540059.860000014</v>
      </c>
      <c r="V200" s="384">
        <f t="shared" si="199"/>
        <v>170218384.88999999</v>
      </c>
      <c r="W200" s="384">
        <f t="shared" si="199"/>
        <v>20512646.75</v>
      </c>
      <c r="X200" s="384">
        <f t="shared" si="199"/>
        <v>83527241.530000001</v>
      </c>
      <c r="Y200" s="384">
        <f t="shared" si="199"/>
        <v>132909289.88000001</v>
      </c>
      <c r="Z200" s="384">
        <f t="shared" si="199"/>
        <v>11305220.179999998</v>
      </c>
      <c r="AA200" s="384">
        <f t="shared" si="199"/>
        <v>22794596.379999999</v>
      </c>
      <c r="AB200" s="384">
        <f t="shared" si="199"/>
        <v>2895259.95</v>
      </c>
      <c r="AC200" s="384">
        <f t="shared" si="199"/>
        <v>95914213.370000005</v>
      </c>
      <c r="AD200" s="384">
        <f t="shared" si="199"/>
        <v>8165191.0099999998</v>
      </c>
      <c r="AE200" s="384">
        <f t="shared" si="199"/>
        <v>0</v>
      </c>
      <c r="AF200" s="384">
        <f t="shared" si="199"/>
        <v>0</v>
      </c>
      <c r="AG200" s="384">
        <f t="shared" si="199"/>
        <v>0</v>
      </c>
      <c r="AH200" s="384">
        <f t="shared" si="199"/>
        <v>8165191.0099999998</v>
      </c>
      <c r="AI200" s="384">
        <f t="shared" si="199"/>
        <v>25817346.220000003</v>
      </c>
      <c r="AJ200" s="384">
        <f t="shared" si="199"/>
        <v>0</v>
      </c>
      <c r="AK200" s="384">
        <f t="shared" si="199"/>
        <v>0</v>
      </c>
      <c r="AL200" s="384">
        <f t="shared" si="199"/>
        <v>0</v>
      </c>
      <c r="AM200" s="384">
        <f t="shared" si="199"/>
        <v>25817346.220000003</v>
      </c>
      <c r="AN200" s="384">
        <f t="shared" si="199"/>
        <v>19551619.399999999</v>
      </c>
      <c r="AO200" s="384">
        <f t="shared" si="199"/>
        <v>1134215.2800000003</v>
      </c>
      <c r="AP200" s="384">
        <f t="shared" si="199"/>
        <v>2695838.6899999976</v>
      </c>
      <c r="AQ200" s="384">
        <f t="shared" si="199"/>
        <v>543683.41</v>
      </c>
      <c r="AR200" s="384">
        <f t="shared" si="199"/>
        <v>15177882.02</v>
      </c>
      <c r="AS200" s="384">
        <f t="shared" si="199"/>
        <v>7295595.9100000001</v>
      </c>
      <c r="AT200" s="384">
        <f t="shared" si="199"/>
        <v>0</v>
      </c>
      <c r="AU200" s="384">
        <f t="shared" si="199"/>
        <v>0</v>
      </c>
      <c r="AV200" s="384">
        <f t="shared" si="199"/>
        <v>0</v>
      </c>
      <c r="AW200" s="384">
        <f t="shared" si="199"/>
        <v>7295595.9100000001</v>
      </c>
      <c r="AX200" s="384">
        <f t="shared" si="199"/>
        <v>1533900</v>
      </c>
      <c r="AY200" s="384">
        <f t="shared" si="199"/>
        <v>0</v>
      </c>
      <c r="AZ200" s="384">
        <f t="shared" si="199"/>
        <v>0</v>
      </c>
      <c r="BA200" s="384">
        <f t="shared" si="199"/>
        <v>0</v>
      </c>
      <c r="BB200" s="384">
        <f t="shared" si="199"/>
        <v>1533900</v>
      </c>
      <c r="BC200" s="384">
        <f t="shared" si="199"/>
        <v>80397.590000008524</v>
      </c>
      <c r="BD200" s="384">
        <f>BD7+BD43+BD71+BD108+BD132+BD157+BD178</f>
        <v>10310.629999999999</v>
      </c>
      <c r="BE200" s="384">
        <f>BE7+BE43+BE71+BE108+BE132+BE157+BE178</f>
        <v>10815.1</v>
      </c>
      <c r="BF200" s="384">
        <f>BF7+BF43+BF71+BF108+BF132+BF157+BF178</f>
        <v>11909.4</v>
      </c>
      <c r="BG200" s="384">
        <f t="shared" ref="BG200:BV200" si="200">BG7+BG43+BG71+BG108+BG132+BG157+BG178+BG207</f>
        <v>0</v>
      </c>
      <c r="BH200" s="384">
        <f t="shared" si="200"/>
        <v>0</v>
      </c>
      <c r="BI200" s="384">
        <f t="shared" si="200"/>
        <v>0</v>
      </c>
      <c r="BJ200" s="384">
        <f t="shared" si="200"/>
        <v>0</v>
      </c>
      <c r="BK200" s="384">
        <f t="shared" si="200"/>
        <v>0</v>
      </c>
      <c r="BL200" s="384">
        <f t="shared" si="200"/>
        <v>80397.590000000011</v>
      </c>
      <c r="BM200" s="384">
        <f t="shared" si="200"/>
        <v>0</v>
      </c>
      <c r="BN200" s="384">
        <f t="shared" si="200"/>
        <v>0</v>
      </c>
      <c r="BO200" s="384">
        <f t="shared" si="200"/>
        <v>0</v>
      </c>
      <c r="BP200" s="384">
        <f t="shared" si="200"/>
        <v>80397.590000000011</v>
      </c>
      <c r="BQ200" s="384">
        <f t="shared" si="200"/>
        <v>0</v>
      </c>
      <c r="BR200" s="384">
        <f t="shared" si="200"/>
        <v>0</v>
      </c>
      <c r="BS200" s="384">
        <f t="shared" si="200"/>
        <v>0</v>
      </c>
      <c r="BT200" s="384">
        <f t="shared" si="200"/>
        <v>0</v>
      </c>
      <c r="BU200" s="384">
        <f t="shared" si="200"/>
        <v>0</v>
      </c>
      <c r="BV200" s="384">
        <f t="shared" si="200"/>
        <v>80397.590000008524</v>
      </c>
    </row>
    <row r="201" spans="1:74" ht="22.9" customHeight="1" x14ac:dyDescent="0.25">
      <c r="A201" s="408" t="s">
        <v>193</v>
      </c>
      <c r="B201" s="409"/>
      <c r="C201" s="374">
        <v>310</v>
      </c>
      <c r="D201" s="387"/>
      <c r="E201" s="384">
        <f t="shared" ref="E201:BC201" si="201">E8+E11+E44+E73+E77+E109+E133+E159+E180+E75</f>
        <v>562706018.60000002</v>
      </c>
      <c r="F201" s="384">
        <f t="shared" si="201"/>
        <v>94755819.120000005</v>
      </c>
      <c r="G201" s="384">
        <f t="shared" si="201"/>
        <v>229027023.25999999</v>
      </c>
      <c r="H201" s="384">
        <f t="shared" si="201"/>
        <v>27692212.999999996</v>
      </c>
      <c r="I201" s="384">
        <f t="shared" si="201"/>
        <v>211230963.22</v>
      </c>
      <c r="J201" s="384">
        <f t="shared" si="201"/>
        <v>0</v>
      </c>
      <c r="K201" s="384">
        <f t="shared" si="201"/>
        <v>0</v>
      </c>
      <c r="L201" s="384">
        <f t="shared" si="201"/>
        <v>0</v>
      </c>
      <c r="M201" s="384">
        <f t="shared" si="201"/>
        <v>0</v>
      </c>
      <c r="N201" s="384">
        <f t="shared" si="201"/>
        <v>0</v>
      </c>
      <c r="O201" s="384">
        <f t="shared" si="201"/>
        <v>53558302.990000002</v>
      </c>
      <c r="P201" s="384">
        <f t="shared" si="201"/>
        <v>14444674.33</v>
      </c>
      <c r="Q201" s="384">
        <f t="shared" si="201"/>
        <v>34925369.359999999</v>
      </c>
      <c r="R201" s="384">
        <f t="shared" si="201"/>
        <v>4188259.3000000003</v>
      </c>
      <c r="S201" s="384">
        <f t="shared" si="201"/>
        <v>0</v>
      </c>
      <c r="T201" s="384">
        <f t="shared" si="201"/>
        <v>339701856.91999996</v>
      </c>
      <c r="U201" s="384">
        <f t="shared" si="201"/>
        <v>70157715.170000002</v>
      </c>
      <c r="V201" s="384">
        <f t="shared" si="201"/>
        <v>169612756.42999998</v>
      </c>
      <c r="W201" s="384">
        <f t="shared" si="201"/>
        <v>20343963.899999999</v>
      </c>
      <c r="X201" s="384">
        <f t="shared" si="201"/>
        <v>79587421.420000002</v>
      </c>
      <c r="Y201" s="384">
        <f t="shared" si="201"/>
        <v>120643340.00999999</v>
      </c>
      <c r="Z201" s="384">
        <f t="shared" si="201"/>
        <v>9019214.3399999999</v>
      </c>
      <c r="AA201" s="384">
        <f t="shared" si="201"/>
        <v>21793058.780000001</v>
      </c>
      <c r="AB201" s="384">
        <f t="shared" si="201"/>
        <v>2616306.39</v>
      </c>
      <c r="AC201" s="384">
        <f t="shared" si="201"/>
        <v>87214760.5</v>
      </c>
      <c r="AD201" s="384">
        <f t="shared" si="201"/>
        <v>4442839.08</v>
      </c>
      <c r="AE201" s="384">
        <f t="shared" si="201"/>
        <v>0</v>
      </c>
      <c r="AF201" s="384">
        <f t="shared" si="201"/>
        <v>0</v>
      </c>
      <c r="AG201" s="384">
        <f t="shared" si="201"/>
        <v>0</v>
      </c>
      <c r="AH201" s="384">
        <f t="shared" si="201"/>
        <v>4442839.08</v>
      </c>
      <c r="AI201" s="384">
        <f t="shared" si="201"/>
        <v>24816651.75</v>
      </c>
      <c r="AJ201" s="384">
        <f t="shared" si="201"/>
        <v>0</v>
      </c>
      <c r="AK201" s="384">
        <f t="shared" si="201"/>
        <v>0</v>
      </c>
      <c r="AL201" s="384">
        <f t="shared" si="201"/>
        <v>0</v>
      </c>
      <c r="AM201" s="384">
        <f t="shared" si="201"/>
        <v>24816651.75</v>
      </c>
      <c r="AN201" s="384">
        <f t="shared" si="201"/>
        <v>19543027.849999998</v>
      </c>
      <c r="AO201" s="384">
        <f t="shared" si="201"/>
        <v>1134215.2800000003</v>
      </c>
      <c r="AP201" s="384">
        <f t="shared" si="201"/>
        <v>2695838.6899999976</v>
      </c>
      <c r="AQ201" s="384">
        <f t="shared" si="201"/>
        <v>543683.41</v>
      </c>
      <c r="AR201" s="384">
        <f t="shared" si="201"/>
        <v>15169290.469999999</v>
      </c>
      <c r="AS201" s="384">
        <f t="shared" si="201"/>
        <v>0</v>
      </c>
      <c r="AT201" s="384">
        <f t="shared" si="201"/>
        <v>0</v>
      </c>
      <c r="AU201" s="384">
        <f t="shared" si="201"/>
        <v>0</v>
      </c>
      <c r="AV201" s="384">
        <f t="shared" si="201"/>
        <v>0</v>
      </c>
      <c r="AW201" s="384">
        <f t="shared" si="201"/>
        <v>0</v>
      </c>
      <c r="AX201" s="384">
        <f t="shared" si="201"/>
        <v>0</v>
      </c>
      <c r="AY201" s="384">
        <f t="shared" si="201"/>
        <v>0</v>
      </c>
      <c r="AZ201" s="384">
        <f t="shared" si="201"/>
        <v>0</v>
      </c>
      <c r="BA201" s="384">
        <f t="shared" si="201"/>
        <v>0</v>
      </c>
      <c r="BB201" s="384">
        <f t="shared" si="201"/>
        <v>0</v>
      </c>
      <c r="BC201" s="384">
        <f t="shared" si="201"/>
        <v>8.8148226495832205E-9</v>
      </c>
      <c r="BD201" s="384">
        <f>BD8+BD44+BD73+BD109+BD133+BD159+BD180</f>
        <v>10160.230000000001</v>
      </c>
      <c r="BE201" s="384">
        <f>BE8+BE44+BE73+BE109+BE133+BE159+BE180</f>
        <v>10664.599999999999</v>
      </c>
      <c r="BF201" s="384">
        <f>BF8+BF44+BF73+BF109+BF133+BF159+BF180</f>
        <v>11745.39</v>
      </c>
      <c r="BG201" s="384">
        <f>BG8+BG11+BG44+BG73+BG77+BG109+BG133+BG159+BG180+BG75</f>
        <v>0</v>
      </c>
      <c r="BH201" s="384">
        <f>BH8+BH11+BH44+BH73+BH77+BH109+BH133+BH159+BH180+BH75</f>
        <v>0</v>
      </c>
      <c r="BI201" s="384">
        <f>BI8+BI11+BI44+BI73+BI77+BI109+BI133+BI159+BI180+BI75</f>
        <v>0</v>
      </c>
      <c r="BJ201" s="384">
        <f>BJ8+BJ11+BJ44+BJ73+BJ77+BJ109+BJ133+BJ159+BJ180+BJ75</f>
        <v>0</v>
      </c>
      <c r="BK201" s="384">
        <f>BK8+BK11+BK44+BK77+BK109+BK133+BK159+BK180+BK72</f>
        <v>0</v>
      </c>
      <c r="BL201" s="384">
        <f t="shared" ref="BL201:BV201" si="202">BL8+BL11+BL44+BL73+BL77+BL109+BL133+BL159+BL180+BL75</f>
        <v>0</v>
      </c>
      <c r="BM201" s="384">
        <f t="shared" si="202"/>
        <v>0</v>
      </c>
      <c r="BN201" s="384">
        <f t="shared" si="202"/>
        <v>0</v>
      </c>
      <c r="BO201" s="384">
        <f t="shared" si="202"/>
        <v>0</v>
      </c>
      <c r="BP201" s="384">
        <f t="shared" si="202"/>
        <v>0</v>
      </c>
      <c r="BQ201" s="384">
        <f t="shared" si="202"/>
        <v>0</v>
      </c>
      <c r="BR201" s="384">
        <f t="shared" si="202"/>
        <v>0</v>
      </c>
      <c r="BS201" s="384">
        <f t="shared" si="202"/>
        <v>0</v>
      </c>
      <c r="BT201" s="384">
        <f t="shared" si="202"/>
        <v>0</v>
      </c>
      <c r="BU201" s="384">
        <f t="shared" si="202"/>
        <v>0</v>
      </c>
      <c r="BV201" s="384">
        <f t="shared" si="202"/>
        <v>8.8148226495832205E-9</v>
      </c>
    </row>
    <row r="202" spans="1:74" ht="22.9" customHeight="1" x14ac:dyDescent="0.25">
      <c r="A202" s="408" t="s">
        <v>193</v>
      </c>
      <c r="B202" s="409"/>
      <c r="C202" s="374">
        <v>310</v>
      </c>
      <c r="D202" s="387"/>
      <c r="E202" s="384">
        <f t="shared" ref="E202:BC202" si="203">E38+E103</f>
        <v>20635.89</v>
      </c>
      <c r="F202" s="384">
        <f t="shared" si="203"/>
        <v>0</v>
      </c>
      <c r="G202" s="384">
        <f t="shared" si="203"/>
        <v>0</v>
      </c>
      <c r="H202" s="384">
        <f t="shared" si="203"/>
        <v>0</v>
      </c>
      <c r="I202" s="384">
        <f t="shared" si="203"/>
        <v>20635.89</v>
      </c>
      <c r="J202" s="384">
        <f t="shared" si="203"/>
        <v>0</v>
      </c>
      <c r="K202" s="384">
        <f t="shared" si="203"/>
        <v>0</v>
      </c>
      <c r="L202" s="384">
        <f t="shared" si="203"/>
        <v>0</v>
      </c>
      <c r="M202" s="384">
        <f t="shared" si="203"/>
        <v>0</v>
      </c>
      <c r="N202" s="384">
        <f t="shared" si="203"/>
        <v>0</v>
      </c>
      <c r="O202" s="384">
        <f t="shared" si="203"/>
        <v>0</v>
      </c>
      <c r="P202" s="384">
        <f t="shared" si="203"/>
        <v>0</v>
      </c>
      <c r="Q202" s="384">
        <f t="shared" si="203"/>
        <v>0</v>
      </c>
      <c r="R202" s="384">
        <f t="shared" si="203"/>
        <v>0</v>
      </c>
      <c r="S202" s="384">
        <f t="shared" si="203"/>
        <v>0</v>
      </c>
      <c r="T202" s="384">
        <f t="shared" si="203"/>
        <v>0</v>
      </c>
      <c r="U202" s="384">
        <f t="shared" si="203"/>
        <v>0</v>
      </c>
      <c r="V202" s="384">
        <f t="shared" si="203"/>
        <v>0</v>
      </c>
      <c r="W202" s="384">
        <f t="shared" si="203"/>
        <v>0</v>
      </c>
      <c r="X202" s="384">
        <f t="shared" si="203"/>
        <v>0</v>
      </c>
      <c r="Y202" s="384">
        <f t="shared" si="203"/>
        <v>0</v>
      </c>
      <c r="Z202" s="384">
        <f t="shared" si="203"/>
        <v>0</v>
      </c>
      <c r="AA202" s="384">
        <f t="shared" si="203"/>
        <v>0</v>
      </c>
      <c r="AB202" s="384">
        <f t="shared" si="203"/>
        <v>0</v>
      </c>
      <c r="AC202" s="384">
        <f t="shared" si="203"/>
        <v>0</v>
      </c>
      <c r="AD202" s="384">
        <f t="shared" si="203"/>
        <v>20635.89</v>
      </c>
      <c r="AE202" s="384">
        <f t="shared" si="203"/>
        <v>0</v>
      </c>
      <c r="AF202" s="384">
        <f t="shared" si="203"/>
        <v>0</v>
      </c>
      <c r="AG202" s="384">
        <f t="shared" si="203"/>
        <v>0</v>
      </c>
      <c r="AH202" s="384">
        <f t="shared" si="203"/>
        <v>20635.89</v>
      </c>
      <c r="AI202" s="384">
        <f t="shared" si="203"/>
        <v>0</v>
      </c>
      <c r="AJ202" s="384">
        <f t="shared" si="203"/>
        <v>0</v>
      </c>
      <c r="AK202" s="384">
        <f t="shared" si="203"/>
        <v>0</v>
      </c>
      <c r="AL202" s="384">
        <f t="shared" si="203"/>
        <v>0</v>
      </c>
      <c r="AM202" s="384">
        <f t="shared" si="203"/>
        <v>0</v>
      </c>
      <c r="AN202" s="384">
        <f t="shared" si="203"/>
        <v>0</v>
      </c>
      <c r="AO202" s="384">
        <f t="shared" si="203"/>
        <v>0</v>
      </c>
      <c r="AP202" s="384">
        <f t="shared" si="203"/>
        <v>0</v>
      </c>
      <c r="AQ202" s="384">
        <f t="shared" si="203"/>
        <v>0</v>
      </c>
      <c r="AR202" s="384">
        <f t="shared" si="203"/>
        <v>0</v>
      </c>
      <c r="AS202" s="384">
        <f t="shared" si="203"/>
        <v>0</v>
      </c>
      <c r="AT202" s="384">
        <f t="shared" si="203"/>
        <v>0</v>
      </c>
      <c r="AU202" s="384">
        <f t="shared" si="203"/>
        <v>0</v>
      </c>
      <c r="AV202" s="384">
        <f t="shared" si="203"/>
        <v>0</v>
      </c>
      <c r="AW202" s="384">
        <f t="shared" si="203"/>
        <v>0</v>
      </c>
      <c r="AX202" s="384">
        <f t="shared" si="203"/>
        <v>0</v>
      </c>
      <c r="AY202" s="384">
        <f t="shared" si="203"/>
        <v>0</v>
      </c>
      <c r="AZ202" s="384">
        <f t="shared" si="203"/>
        <v>0</v>
      </c>
      <c r="BA202" s="384">
        <f t="shared" si="203"/>
        <v>0</v>
      </c>
      <c r="BB202" s="384">
        <f t="shared" si="203"/>
        <v>0</v>
      </c>
      <c r="BC202" s="384">
        <f t="shared" si="203"/>
        <v>0</v>
      </c>
      <c r="BD202" s="384" t="s">
        <v>328</v>
      </c>
      <c r="BE202" s="384" t="s">
        <v>328</v>
      </c>
      <c r="BF202" s="384" t="s">
        <v>328</v>
      </c>
      <c r="BG202" s="384">
        <f t="shared" ref="BG202:BV202" si="204">BG38+BG103</f>
        <v>0</v>
      </c>
      <c r="BH202" s="384">
        <f t="shared" si="204"/>
        <v>0</v>
      </c>
      <c r="BI202" s="384">
        <f t="shared" si="204"/>
        <v>0</v>
      </c>
      <c r="BJ202" s="384">
        <f t="shared" si="204"/>
        <v>0</v>
      </c>
      <c r="BK202" s="384">
        <f t="shared" si="204"/>
        <v>0</v>
      </c>
      <c r="BL202" s="384">
        <f t="shared" si="204"/>
        <v>0</v>
      </c>
      <c r="BM202" s="384">
        <f t="shared" si="204"/>
        <v>0</v>
      </c>
      <c r="BN202" s="384">
        <f t="shared" si="204"/>
        <v>0</v>
      </c>
      <c r="BO202" s="384">
        <f t="shared" si="204"/>
        <v>0</v>
      </c>
      <c r="BP202" s="384">
        <f t="shared" si="204"/>
        <v>0</v>
      </c>
      <c r="BQ202" s="384">
        <f t="shared" si="204"/>
        <v>0</v>
      </c>
      <c r="BR202" s="384">
        <f t="shared" si="204"/>
        <v>0</v>
      </c>
      <c r="BS202" s="384">
        <f t="shared" si="204"/>
        <v>0</v>
      </c>
      <c r="BT202" s="384">
        <f t="shared" si="204"/>
        <v>0</v>
      </c>
      <c r="BU202" s="384">
        <f t="shared" si="204"/>
        <v>0</v>
      </c>
      <c r="BV202" s="384">
        <f t="shared" si="204"/>
        <v>0</v>
      </c>
    </row>
    <row r="203" spans="1:74" ht="22.9" customHeight="1" x14ac:dyDescent="0.25">
      <c r="A203" s="408" t="s">
        <v>193</v>
      </c>
      <c r="B203" s="409"/>
      <c r="C203" s="374">
        <v>226</v>
      </c>
      <c r="D203" s="410"/>
      <c r="E203" s="384">
        <f t="shared" ref="E203:BC203" si="205">E12+E13+E14+E15+E16+E17+E18+E19+E20+E21+E22+E23+E24+E25+E26+E27+E28+E29+E30+E31+E33+E34+E35+E36+E37+E45+E46+E47+E48+E49+E50+E51+E52+E53+E54+E55+E56+E57+E58+E59+E60+E61+E62+E63+E64+E65+E79+E80+E81+E82+E83+E84+E85+E86+E87+E88+E89+E90+E91+E92+E93+E94+E95+E96+E97+E99+E100+E101+E102+E110+E111+E112+E113+E114+E115+E116+E117+E118+E119+E120+E121+E122+E123+E124+E125+E126+E134+E135+E136+E137+E138+E139+E140+E141+E142+E143+E144+E145+E146+E147+E148+E149+E150+E161+E162+E163+E164+E165+E166+E167+E168+E169+E170+E171+E172+E173+E174+E175+E176+E182+E183+E184+E185+E186+E187+E188+E189+E190+E191+E192+E193+E194+E195+E196+E152+E129+E67+E153+E130+E105+E68+E40+E69+E106+E131+E154+E41+E42+E107+E155+E156+E70</f>
        <v>51375013.260000005</v>
      </c>
      <c r="F203" s="384">
        <f t="shared" si="205"/>
        <v>0</v>
      </c>
      <c r="G203" s="384">
        <f t="shared" si="205"/>
        <v>0</v>
      </c>
      <c r="H203" s="384">
        <f t="shared" si="205"/>
        <v>0</v>
      </c>
      <c r="I203" s="384">
        <f t="shared" si="205"/>
        <v>51375013.260000005</v>
      </c>
      <c r="J203" s="384">
        <f t="shared" si="205"/>
        <v>1656913.57</v>
      </c>
      <c r="K203" s="384">
        <f t="shared" si="205"/>
        <v>0</v>
      </c>
      <c r="L203" s="384">
        <f t="shared" si="205"/>
        <v>0</v>
      </c>
      <c r="M203" s="384">
        <f t="shared" si="205"/>
        <v>0</v>
      </c>
      <c r="N203" s="384">
        <f t="shared" si="205"/>
        <v>1656913.57</v>
      </c>
      <c r="O203" s="384">
        <f t="shared" si="205"/>
        <v>27322953.620000005</v>
      </c>
      <c r="P203" s="384">
        <f t="shared" si="205"/>
        <v>0</v>
      </c>
      <c r="Q203" s="384">
        <f t="shared" si="205"/>
        <v>0</v>
      </c>
      <c r="R203" s="384">
        <f t="shared" si="205"/>
        <v>0</v>
      </c>
      <c r="S203" s="384">
        <f t="shared" si="205"/>
        <v>27322953.620000005</v>
      </c>
      <c r="T203" s="384">
        <f t="shared" si="205"/>
        <v>3939820.11</v>
      </c>
      <c r="U203" s="384">
        <f t="shared" si="205"/>
        <v>0</v>
      </c>
      <c r="V203" s="384">
        <f t="shared" si="205"/>
        <v>0</v>
      </c>
      <c r="W203" s="384">
        <f t="shared" si="205"/>
        <v>0</v>
      </c>
      <c r="X203" s="384">
        <f t="shared" si="205"/>
        <v>3939820.11</v>
      </c>
      <c r="Y203" s="384">
        <f t="shared" si="205"/>
        <v>8699452.870000001</v>
      </c>
      <c r="Z203" s="384">
        <f t="shared" si="205"/>
        <v>0</v>
      </c>
      <c r="AA203" s="384">
        <f t="shared" si="205"/>
        <v>0</v>
      </c>
      <c r="AB203" s="384">
        <f t="shared" si="205"/>
        <v>0</v>
      </c>
      <c r="AC203" s="384">
        <f t="shared" si="205"/>
        <v>8699452.870000001</v>
      </c>
      <c r="AD203" s="384">
        <f t="shared" si="205"/>
        <v>3351716.0399999996</v>
      </c>
      <c r="AE203" s="384">
        <f t="shared" si="205"/>
        <v>0</v>
      </c>
      <c r="AF203" s="384">
        <f t="shared" si="205"/>
        <v>0</v>
      </c>
      <c r="AG203" s="384">
        <f t="shared" si="205"/>
        <v>0</v>
      </c>
      <c r="AH203" s="384">
        <f t="shared" si="205"/>
        <v>3351716.0399999996</v>
      </c>
      <c r="AI203" s="384">
        <f t="shared" si="205"/>
        <v>813451</v>
      </c>
      <c r="AJ203" s="384">
        <f t="shared" si="205"/>
        <v>0</v>
      </c>
      <c r="AK203" s="384">
        <f t="shared" si="205"/>
        <v>0</v>
      </c>
      <c r="AL203" s="384">
        <f t="shared" si="205"/>
        <v>0</v>
      </c>
      <c r="AM203" s="384">
        <f t="shared" si="205"/>
        <v>813451</v>
      </c>
      <c r="AN203" s="384">
        <f t="shared" si="205"/>
        <v>8591.5500000000011</v>
      </c>
      <c r="AO203" s="384">
        <f t="shared" si="205"/>
        <v>0</v>
      </c>
      <c r="AP203" s="384">
        <f t="shared" si="205"/>
        <v>0</v>
      </c>
      <c r="AQ203" s="384">
        <f t="shared" si="205"/>
        <v>0</v>
      </c>
      <c r="AR203" s="384">
        <f t="shared" si="205"/>
        <v>8591.5500000000011</v>
      </c>
      <c r="AS203" s="384">
        <f t="shared" si="205"/>
        <v>5437816.9099999992</v>
      </c>
      <c r="AT203" s="384">
        <f t="shared" si="205"/>
        <v>0</v>
      </c>
      <c r="AU203" s="384">
        <f t="shared" si="205"/>
        <v>0</v>
      </c>
      <c r="AV203" s="384">
        <f t="shared" si="205"/>
        <v>0</v>
      </c>
      <c r="AW203" s="384">
        <f t="shared" si="205"/>
        <v>5437816.9099999992</v>
      </c>
      <c r="AX203" s="384">
        <f t="shared" si="205"/>
        <v>63900</v>
      </c>
      <c r="AY203" s="384">
        <f t="shared" si="205"/>
        <v>0</v>
      </c>
      <c r="AZ203" s="384">
        <f t="shared" si="205"/>
        <v>0</v>
      </c>
      <c r="BA203" s="384">
        <f t="shared" si="205"/>
        <v>0</v>
      </c>
      <c r="BB203" s="384">
        <f t="shared" si="205"/>
        <v>63900</v>
      </c>
      <c r="BC203" s="384">
        <f t="shared" si="205"/>
        <v>80397.589999999705</v>
      </c>
      <c r="BD203" s="384" t="s">
        <v>328</v>
      </c>
      <c r="BE203" s="384" t="s">
        <v>328</v>
      </c>
      <c r="BF203" s="384" t="s">
        <v>328</v>
      </c>
      <c r="BG203" s="384">
        <f>BG12+BG13+BG14+BG15+BG16+BG17+BG18+BG19+BG20+BG21+BG22+BG23+BG24+BG25+BG26+BG27+BG28+BG29+BG30+BG31+BG33+BG34+BG35+BG36+BG37+BG45+BG46+BG47+BG48+BG49+BG50+BG51+BG52+BG53+BG54+BG55+BG56+BG57+BG58+BG59+BG60+BG61+BG62+BG63+BG64+BG65+BG79+BG80+BG81+BG82+BG83+BG84+BG85+BG86+BG87+BG88+BG89+BG90+BG91+BG92+BG93+BG94+BG95+BG96+BG97+BG99+BG100+BG101+BG102+BG110+BG111+BG112+BG113+BG114+BG115+BG116+BG117+BG118+BG119+BG120+BG121+BG122+BG123+BG124+BG125+BG126+BG134+BG135+BG136+BG137+BG138+BG139+BG140+BG141+BG142+BG143+BG144+BG145+BG146+BG147+BG148+BG149+BG150+BG161+BG162+BG163+BG164+BG165+BG166+BG167+BG168+BG169+BG170+BG171+BG172+BG173+BG174+BG175+BG176+BG182+BG183+BG184+BG185+BG186+BG187+BG188+BG189+BG190+BG191+BG192+BG193+BG194+BG195+BG196+BG152+BG129+BG67+BG153+BG130+BG105+BG68+BG40+BG69+BG106+BG131+BG154+BG41+BG42+BG107+BG155+BG156+BG70</f>
        <v>0</v>
      </c>
      <c r="BH203" s="384">
        <f t="shared" ref="BH203:BV203" si="206">BH12+BH13+BH14+BH15+BH16+BH17+BH18+BH19+BH20+BH21+BH22+BH23+BH24+BH25+BH26+BH27+BH28+BH29+BH30+BH31+BH33+BH34+BH35+BH36+BH37+BH45+BH46+BH47+BH48+BH49+BH50+BH51+BH52+BH53+BH54+BH55+BH56+BH57+BH58+BH59+BH60+BH61+BH62+BH63+BH64+BH65+BH79+BH80+BH81+BH82+BH83+BH84+BH85+BH86+BH87+BH88+BH89+BH90+BH91+BH92+BH93+BH94+BH95+BH96+BH97+BH99+BH100+BH101+BH102+BH110+BH111+BH112+BH113+BH114+BH115+BH116+BH117+BH118+BH119+BH120+BH121+BH122+BH123+BH124+BH125+BH126+BH134+BH135+BH136+BH137+BH138+BH139+BH140+BH141+BH142+BH143+BH144+BH145+BH146+BH147+BH148+BH149+BH150+BH161+BH162+BH163+BH164+BH165+BH166+BH167+BH168+BH169+BH170+BH171+BH172+BH173+BH174+BH175+BH176+BH182+BH183+BH184+BH185+BH186+BH187+BH188+BH189+BH190+BH191+BH192+BH193+BH194+BH195+BH196+BH152+BH129+BH67+BH153+BH130+BH105+BH68+BH40+BH69+BH106+BH131+BH154+BH41+BH42+BH107+BH155+BH156+BH70</f>
        <v>0</v>
      </c>
      <c r="BI203" s="384">
        <f t="shared" si="206"/>
        <v>0</v>
      </c>
      <c r="BJ203" s="384">
        <f t="shared" si="206"/>
        <v>0</v>
      </c>
      <c r="BK203" s="384">
        <f t="shared" si="206"/>
        <v>0</v>
      </c>
      <c r="BL203" s="384">
        <f t="shared" si="206"/>
        <v>80397.590000000011</v>
      </c>
      <c r="BM203" s="384">
        <f t="shared" si="206"/>
        <v>0</v>
      </c>
      <c r="BN203" s="384">
        <f t="shared" si="206"/>
        <v>0</v>
      </c>
      <c r="BO203" s="384">
        <f t="shared" si="206"/>
        <v>0</v>
      </c>
      <c r="BP203" s="384">
        <f t="shared" si="206"/>
        <v>80397.590000000011</v>
      </c>
      <c r="BQ203" s="384">
        <f t="shared" si="206"/>
        <v>0</v>
      </c>
      <c r="BR203" s="384">
        <f t="shared" si="206"/>
        <v>0</v>
      </c>
      <c r="BS203" s="384">
        <f t="shared" si="206"/>
        <v>0</v>
      </c>
      <c r="BT203" s="384">
        <f t="shared" si="206"/>
        <v>0</v>
      </c>
      <c r="BU203" s="384">
        <f t="shared" si="206"/>
        <v>0</v>
      </c>
      <c r="BV203" s="384">
        <f t="shared" si="206"/>
        <v>80397.589999999705</v>
      </c>
    </row>
    <row r="204" spans="1:74" ht="22.9" customHeight="1" x14ac:dyDescent="0.25">
      <c r="A204" s="408" t="s">
        <v>193</v>
      </c>
      <c r="B204" s="409"/>
      <c r="C204" s="374">
        <v>223</v>
      </c>
      <c r="D204" s="410"/>
      <c r="E204" s="384">
        <f t="shared" ref="E204:BP204" si="207">E128+E177+E32+E98+E198+E197</f>
        <v>187243.47</v>
      </c>
      <c r="F204" s="384">
        <f t="shared" si="207"/>
        <v>0</v>
      </c>
      <c r="G204" s="384">
        <f t="shared" si="207"/>
        <v>0</v>
      </c>
      <c r="H204" s="384">
        <f t="shared" si="207"/>
        <v>0</v>
      </c>
      <c r="I204" s="384">
        <f t="shared" si="207"/>
        <v>187243.47</v>
      </c>
      <c r="J204" s="384">
        <f t="shared" si="207"/>
        <v>0</v>
      </c>
      <c r="K204" s="384">
        <f t="shared" si="207"/>
        <v>0</v>
      </c>
      <c r="L204" s="384">
        <f t="shared" si="207"/>
        <v>0</v>
      </c>
      <c r="M204" s="384">
        <f t="shared" si="207"/>
        <v>0</v>
      </c>
      <c r="N204" s="384">
        <f t="shared" si="207"/>
        <v>0</v>
      </c>
      <c r="O204" s="384">
        <f t="shared" si="207"/>
        <v>0</v>
      </c>
      <c r="P204" s="384">
        <f t="shared" si="207"/>
        <v>0</v>
      </c>
      <c r="Q204" s="384">
        <f t="shared" si="207"/>
        <v>0</v>
      </c>
      <c r="R204" s="384">
        <f t="shared" si="207"/>
        <v>0</v>
      </c>
      <c r="S204" s="384">
        <f t="shared" si="207"/>
        <v>0</v>
      </c>
      <c r="T204" s="384">
        <f t="shared" si="207"/>
        <v>0</v>
      </c>
      <c r="U204" s="384">
        <f t="shared" si="207"/>
        <v>0</v>
      </c>
      <c r="V204" s="384">
        <f t="shared" si="207"/>
        <v>0</v>
      </c>
      <c r="W204" s="384">
        <f t="shared" si="207"/>
        <v>0</v>
      </c>
      <c r="X204" s="384">
        <f t="shared" si="207"/>
        <v>0</v>
      </c>
      <c r="Y204" s="384">
        <f t="shared" si="207"/>
        <v>0</v>
      </c>
      <c r="Z204" s="384">
        <f t="shared" si="207"/>
        <v>0</v>
      </c>
      <c r="AA204" s="384">
        <f t="shared" si="207"/>
        <v>0</v>
      </c>
      <c r="AB204" s="384">
        <f t="shared" si="207"/>
        <v>0</v>
      </c>
      <c r="AC204" s="384">
        <f t="shared" si="207"/>
        <v>0</v>
      </c>
      <c r="AD204" s="384">
        <f t="shared" si="207"/>
        <v>0</v>
      </c>
      <c r="AE204" s="384">
        <f t="shared" si="207"/>
        <v>0</v>
      </c>
      <c r="AF204" s="384">
        <f t="shared" si="207"/>
        <v>0</v>
      </c>
      <c r="AG204" s="384">
        <f t="shared" si="207"/>
        <v>0</v>
      </c>
      <c r="AH204" s="384">
        <f t="shared" si="207"/>
        <v>0</v>
      </c>
      <c r="AI204" s="384">
        <f t="shared" si="207"/>
        <v>187243.47</v>
      </c>
      <c r="AJ204" s="384">
        <f t="shared" si="207"/>
        <v>0</v>
      </c>
      <c r="AK204" s="384">
        <f t="shared" si="207"/>
        <v>0</v>
      </c>
      <c r="AL204" s="384">
        <f t="shared" si="207"/>
        <v>0</v>
      </c>
      <c r="AM204" s="384">
        <f t="shared" si="207"/>
        <v>187243.47</v>
      </c>
      <c r="AN204" s="384">
        <f t="shared" si="207"/>
        <v>0</v>
      </c>
      <c r="AO204" s="384">
        <f t="shared" si="207"/>
        <v>0</v>
      </c>
      <c r="AP204" s="384">
        <f t="shared" si="207"/>
        <v>0</v>
      </c>
      <c r="AQ204" s="384">
        <f t="shared" si="207"/>
        <v>0</v>
      </c>
      <c r="AR204" s="384">
        <f t="shared" si="207"/>
        <v>0</v>
      </c>
      <c r="AS204" s="384">
        <f t="shared" si="207"/>
        <v>0</v>
      </c>
      <c r="AT204" s="384">
        <f t="shared" si="207"/>
        <v>0</v>
      </c>
      <c r="AU204" s="384">
        <f t="shared" si="207"/>
        <v>0</v>
      </c>
      <c r="AV204" s="384">
        <f t="shared" si="207"/>
        <v>0</v>
      </c>
      <c r="AW204" s="384">
        <f t="shared" si="207"/>
        <v>0</v>
      </c>
      <c r="AX204" s="384">
        <f t="shared" si="207"/>
        <v>0</v>
      </c>
      <c r="AY204" s="384">
        <f t="shared" si="207"/>
        <v>0</v>
      </c>
      <c r="AZ204" s="384">
        <f t="shared" si="207"/>
        <v>0</v>
      </c>
      <c r="BA204" s="384">
        <f t="shared" si="207"/>
        <v>0</v>
      </c>
      <c r="BB204" s="384">
        <f t="shared" si="207"/>
        <v>0</v>
      </c>
      <c r="BC204" s="384">
        <f t="shared" si="207"/>
        <v>0</v>
      </c>
      <c r="BD204" s="384">
        <f t="shared" si="207"/>
        <v>0</v>
      </c>
      <c r="BE204" s="384">
        <f t="shared" si="207"/>
        <v>0</v>
      </c>
      <c r="BF204" s="384">
        <f t="shared" si="207"/>
        <v>0</v>
      </c>
      <c r="BG204" s="384">
        <f t="shared" si="207"/>
        <v>0</v>
      </c>
      <c r="BH204" s="384">
        <f t="shared" si="207"/>
        <v>0</v>
      </c>
      <c r="BI204" s="384">
        <f t="shared" si="207"/>
        <v>0</v>
      </c>
      <c r="BJ204" s="384">
        <f t="shared" si="207"/>
        <v>0</v>
      </c>
      <c r="BK204" s="384">
        <f t="shared" si="207"/>
        <v>0</v>
      </c>
      <c r="BL204" s="384">
        <f t="shared" si="207"/>
        <v>0</v>
      </c>
      <c r="BM204" s="384">
        <f t="shared" si="207"/>
        <v>0</v>
      </c>
      <c r="BN204" s="384">
        <f t="shared" si="207"/>
        <v>0</v>
      </c>
      <c r="BO204" s="384">
        <f t="shared" si="207"/>
        <v>0</v>
      </c>
      <c r="BP204" s="384">
        <f t="shared" si="207"/>
        <v>0</v>
      </c>
      <c r="BQ204" s="384">
        <f t="shared" ref="BQ204:BV204" si="208">BQ128+BQ177+BQ32+BQ98+BQ198+BQ197</f>
        <v>0</v>
      </c>
      <c r="BR204" s="384">
        <f t="shared" si="208"/>
        <v>0</v>
      </c>
      <c r="BS204" s="384">
        <f t="shared" si="208"/>
        <v>0</v>
      </c>
      <c r="BT204" s="384">
        <f t="shared" si="208"/>
        <v>0</v>
      </c>
      <c r="BU204" s="384">
        <f t="shared" si="208"/>
        <v>0</v>
      </c>
      <c r="BV204" s="384">
        <f t="shared" si="208"/>
        <v>0</v>
      </c>
    </row>
    <row r="205" spans="1:74" ht="22.9" customHeight="1" x14ac:dyDescent="0.25">
      <c r="A205" s="408" t="s">
        <v>193</v>
      </c>
      <c r="B205" s="409"/>
      <c r="C205" s="374">
        <v>290</v>
      </c>
      <c r="D205" s="410"/>
      <c r="E205" s="384">
        <f t="shared" ref="E205:BC205" si="209">E39+E66+E104+E127+E151</f>
        <v>350000</v>
      </c>
      <c r="F205" s="384">
        <f t="shared" si="209"/>
        <v>0</v>
      </c>
      <c r="G205" s="384">
        <f t="shared" si="209"/>
        <v>0</v>
      </c>
      <c r="H205" s="384">
        <f t="shared" si="209"/>
        <v>0</v>
      </c>
      <c r="I205" s="384">
        <f t="shared" si="209"/>
        <v>350000</v>
      </c>
      <c r="J205" s="384">
        <f t="shared" si="209"/>
        <v>0</v>
      </c>
      <c r="K205" s="384">
        <f t="shared" si="209"/>
        <v>0</v>
      </c>
      <c r="L205" s="384">
        <f t="shared" si="209"/>
        <v>0</v>
      </c>
      <c r="M205" s="384">
        <f t="shared" si="209"/>
        <v>0</v>
      </c>
      <c r="N205" s="384">
        <f t="shared" si="209"/>
        <v>0</v>
      </c>
      <c r="O205" s="384">
        <f t="shared" si="209"/>
        <v>0</v>
      </c>
      <c r="P205" s="384">
        <f t="shared" si="209"/>
        <v>0</v>
      </c>
      <c r="Q205" s="384">
        <f t="shared" si="209"/>
        <v>0</v>
      </c>
      <c r="R205" s="384">
        <f t="shared" si="209"/>
        <v>0</v>
      </c>
      <c r="S205" s="384">
        <f t="shared" si="209"/>
        <v>0</v>
      </c>
      <c r="T205" s="384">
        <f t="shared" si="209"/>
        <v>0</v>
      </c>
      <c r="U205" s="384">
        <f t="shared" si="209"/>
        <v>0</v>
      </c>
      <c r="V205" s="384">
        <f t="shared" si="209"/>
        <v>0</v>
      </c>
      <c r="W205" s="384">
        <f t="shared" si="209"/>
        <v>0</v>
      </c>
      <c r="X205" s="384">
        <f t="shared" si="209"/>
        <v>0</v>
      </c>
      <c r="Y205" s="384">
        <f t="shared" si="209"/>
        <v>0</v>
      </c>
      <c r="Z205" s="384">
        <f t="shared" si="209"/>
        <v>0</v>
      </c>
      <c r="AA205" s="384">
        <f t="shared" si="209"/>
        <v>0</v>
      </c>
      <c r="AB205" s="384">
        <f t="shared" si="209"/>
        <v>0</v>
      </c>
      <c r="AC205" s="384">
        <f t="shared" si="209"/>
        <v>0</v>
      </c>
      <c r="AD205" s="384">
        <f t="shared" si="209"/>
        <v>350000</v>
      </c>
      <c r="AE205" s="384">
        <f t="shared" si="209"/>
        <v>0</v>
      </c>
      <c r="AF205" s="384">
        <f t="shared" si="209"/>
        <v>0</v>
      </c>
      <c r="AG205" s="384">
        <f t="shared" si="209"/>
        <v>0</v>
      </c>
      <c r="AH205" s="384">
        <f t="shared" si="209"/>
        <v>350000</v>
      </c>
      <c r="AI205" s="384">
        <f t="shared" si="209"/>
        <v>0</v>
      </c>
      <c r="AJ205" s="384">
        <f t="shared" si="209"/>
        <v>0</v>
      </c>
      <c r="AK205" s="384">
        <f t="shared" si="209"/>
        <v>0</v>
      </c>
      <c r="AL205" s="384">
        <f t="shared" si="209"/>
        <v>0</v>
      </c>
      <c r="AM205" s="384">
        <f t="shared" si="209"/>
        <v>0</v>
      </c>
      <c r="AN205" s="384">
        <f t="shared" si="209"/>
        <v>0</v>
      </c>
      <c r="AO205" s="384">
        <f t="shared" si="209"/>
        <v>0</v>
      </c>
      <c r="AP205" s="384">
        <f t="shared" si="209"/>
        <v>0</v>
      </c>
      <c r="AQ205" s="384">
        <f t="shared" si="209"/>
        <v>0</v>
      </c>
      <c r="AR205" s="384">
        <f t="shared" si="209"/>
        <v>0</v>
      </c>
      <c r="AS205" s="384">
        <f t="shared" si="209"/>
        <v>0</v>
      </c>
      <c r="AT205" s="384">
        <f t="shared" si="209"/>
        <v>0</v>
      </c>
      <c r="AU205" s="384">
        <f t="shared" si="209"/>
        <v>0</v>
      </c>
      <c r="AV205" s="384">
        <f t="shared" si="209"/>
        <v>0</v>
      </c>
      <c r="AW205" s="384">
        <f t="shared" si="209"/>
        <v>0</v>
      </c>
      <c r="AX205" s="384">
        <f t="shared" si="209"/>
        <v>0</v>
      </c>
      <c r="AY205" s="384">
        <f t="shared" si="209"/>
        <v>0</v>
      </c>
      <c r="AZ205" s="384">
        <f t="shared" si="209"/>
        <v>0</v>
      </c>
      <c r="BA205" s="384">
        <f t="shared" si="209"/>
        <v>0</v>
      </c>
      <c r="BB205" s="384">
        <f t="shared" si="209"/>
        <v>0</v>
      </c>
      <c r="BC205" s="384">
        <f t="shared" si="209"/>
        <v>0</v>
      </c>
      <c r="BD205" s="384" t="s">
        <v>328</v>
      </c>
      <c r="BE205" s="384" t="s">
        <v>328</v>
      </c>
      <c r="BF205" s="384" t="s">
        <v>328</v>
      </c>
      <c r="BG205" s="384">
        <f t="shared" ref="BG205:BV205" si="210">BG39+BG66+BG104+BG127+BG151</f>
        <v>0</v>
      </c>
      <c r="BH205" s="384">
        <f t="shared" si="210"/>
        <v>0</v>
      </c>
      <c r="BI205" s="384">
        <f t="shared" si="210"/>
        <v>0</v>
      </c>
      <c r="BJ205" s="384">
        <f t="shared" si="210"/>
        <v>0</v>
      </c>
      <c r="BK205" s="384">
        <f t="shared" si="210"/>
        <v>0</v>
      </c>
      <c r="BL205" s="384">
        <f t="shared" si="210"/>
        <v>0</v>
      </c>
      <c r="BM205" s="384">
        <f t="shared" si="210"/>
        <v>0</v>
      </c>
      <c r="BN205" s="384">
        <f t="shared" si="210"/>
        <v>0</v>
      </c>
      <c r="BO205" s="384">
        <f t="shared" si="210"/>
        <v>0</v>
      </c>
      <c r="BP205" s="384">
        <f t="shared" si="210"/>
        <v>0</v>
      </c>
      <c r="BQ205" s="384">
        <f t="shared" si="210"/>
        <v>0</v>
      </c>
      <c r="BR205" s="384">
        <f t="shared" si="210"/>
        <v>0</v>
      </c>
      <c r="BS205" s="384">
        <f t="shared" si="210"/>
        <v>0</v>
      </c>
      <c r="BT205" s="384">
        <f t="shared" si="210"/>
        <v>0</v>
      </c>
      <c r="BU205" s="384">
        <f t="shared" si="210"/>
        <v>0</v>
      </c>
      <c r="BV205" s="384">
        <f t="shared" si="210"/>
        <v>0</v>
      </c>
    </row>
    <row r="206" spans="1:74" ht="22.9" customHeight="1" x14ac:dyDescent="0.25">
      <c r="A206" s="408" t="s">
        <v>194</v>
      </c>
      <c r="B206" s="409"/>
      <c r="C206" s="374">
        <v>310</v>
      </c>
      <c r="D206" s="410"/>
      <c r="E206" s="384">
        <f t="shared" ref="E206:BB206" si="211">E74+E160+E181</f>
        <v>5723153</v>
      </c>
      <c r="F206" s="384">
        <f t="shared" si="211"/>
        <v>3668350.53</v>
      </c>
      <c r="G206" s="384">
        <f t="shared" si="211"/>
        <v>1607166.0599999998</v>
      </c>
      <c r="H206" s="384">
        <f t="shared" si="211"/>
        <v>447636.41</v>
      </c>
      <c r="I206" s="384">
        <f t="shared" si="211"/>
        <v>0</v>
      </c>
      <c r="J206" s="384">
        <f t="shared" si="211"/>
        <v>0</v>
      </c>
      <c r="K206" s="384">
        <f t="shared" si="211"/>
        <v>0</v>
      </c>
      <c r="L206" s="384">
        <f t="shared" si="211"/>
        <v>0</v>
      </c>
      <c r="M206" s="384">
        <f t="shared" si="211"/>
        <v>0</v>
      </c>
      <c r="N206" s="384">
        <f t="shared" si="211"/>
        <v>0</v>
      </c>
      <c r="O206" s="384">
        <f t="shared" si="211"/>
        <v>0</v>
      </c>
      <c r="P206" s="384">
        <f t="shared" si="211"/>
        <v>0</v>
      </c>
      <c r="Q206" s="384">
        <f t="shared" si="211"/>
        <v>0</v>
      </c>
      <c r="R206" s="384">
        <f t="shared" si="211"/>
        <v>0</v>
      </c>
      <c r="S206" s="384">
        <f t="shared" si="211"/>
        <v>0</v>
      </c>
      <c r="T206" s="384">
        <f t="shared" si="211"/>
        <v>2156656</v>
      </c>
      <c r="U206" s="384">
        <f t="shared" si="211"/>
        <v>1382344.69</v>
      </c>
      <c r="V206" s="384">
        <f t="shared" si="211"/>
        <v>605628.46</v>
      </c>
      <c r="W206" s="384">
        <f t="shared" si="211"/>
        <v>168682.85</v>
      </c>
      <c r="X206" s="384">
        <f t="shared" si="211"/>
        <v>0</v>
      </c>
      <c r="Y206" s="384">
        <f t="shared" si="211"/>
        <v>3566497</v>
      </c>
      <c r="Z206" s="384">
        <f t="shared" si="211"/>
        <v>2286005.84</v>
      </c>
      <c r="AA206" s="384">
        <f t="shared" si="211"/>
        <v>1001537.6</v>
      </c>
      <c r="AB206" s="384">
        <f t="shared" si="211"/>
        <v>278953.56</v>
      </c>
      <c r="AC206" s="384">
        <f t="shared" si="211"/>
        <v>0</v>
      </c>
      <c r="AD206" s="384">
        <f t="shared" si="211"/>
        <v>0</v>
      </c>
      <c r="AE206" s="384">
        <f t="shared" si="211"/>
        <v>0</v>
      </c>
      <c r="AF206" s="384">
        <f t="shared" si="211"/>
        <v>0</v>
      </c>
      <c r="AG206" s="384">
        <f t="shared" si="211"/>
        <v>0</v>
      </c>
      <c r="AH206" s="384">
        <f t="shared" si="211"/>
        <v>0</v>
      </c>
      <c r="AI206" s="384">
        <f t="shared" si="211"/>
        <v>0</v>
      </c>
      <c r="AJ206" s="384">
        <f t="shared" si="211"/>
        <v>0</v>
      </c>
      <c r="AK206" s="384">
        <f t="shared" si="211"/>
        <v>0</v>
      </c>
      <c r="AL206" s="384">
        <f t="shared" si="211"/>
        <v>0</v>
      </c>
      <c r="AM206" s="384">
        <f t="shared" si="211"/>
        <v>0</v>
      </c>
      <c r="AN206" s="384">
        <f t="shared" si="211"/>
        <v>0</v>
      </c>
      <c r="AO206" s="384">
        <f t="shared" si="211"/>
        <v>0</v>
      </c>
      <c r="AP206" s="384">
        <f t="shared" si="211"/>
        <v>0</v>
      </c>
      <c r="AQ206" s="384">
        <f t="shared" si="211"/>
        <v>0</v>
      </c>
      <c r="AR206" s="384">
        <f t="shared" si="211"/>
        <v>0</v>
      </c>
      <c r="AS206" s="384">
        <f t="shared" si="211"/>
        <v>0</v>
      </c>
      <c r="AT206" s="384">
        <f t="shared" si="211"/>
        <v>0</v>
      </c>
      <c r="AU206" s="384">
        <f t="shared" si="211"/>
        <v>0</v>
      </c>
      <c r="AV206" s="384">
        <f t="shared" si="211"/>
        <v>0</v>
      </c>
      <c r="AW206" s="384">
        <f t="shared" si="211"/>
        <v>0</v>
      </c>
      <c r="AX206" s="384">
        <f t="shared" si="211"/>
        <v>0</v>
      </c>
      <c r="AY206" s="384">
        <f t="shared" si="211"/>
        <v>0</v>
      </c>
      <c r="AZ206" s="384">
        <f t="shared" si="211"/>
        <v>0</v>
      </c>
      <c r="BA206" s="384">
        <f t="shared" si="211"/>
        <v>0</v>
      </c>
      <c r="BB206" s="384">
        <f t="shared" si="211"/>
        <v>0</v>
      </c>
      <c r="BC206" s="384">
        <f>BC74+BC160+BC181</f>
        <v>0</v>
      </c>
      <c r="BD206" s="384">
        <f>BD74+BD160+BD181</f>
        <v>150.4</v>
      </c>
      <c r="BE206" s="384">
        <f>BE74+BE160+BE181</f>
        <v>150.5</v>
      </c>
      <c r="BF206" s="384">
        <f>BF74+BF160+BF181</f>
        <v>164.01</v>
      </c>
      <c r="BG206" s="384">
        <f t="shared" ref="BG206:BV206" si="212">BG74+BG160+BG181</f>
        <v>0</v>
      </c>
      <c r="BH206" s="384">
        <f t="shared" si="212"/>
        <v>0</v>
      </c>
      <c r="BI206" s="384">
        <f t="shared" si="212"/>
        <v>0</v>
      </c>
      <c r="BJ206" s="384">
        <f t="shared" si="212"/>
        <v>0</v>
      </c>
      <c r="BK206" s="384">
        <f t="shared" si="212"/>
        <v>0</v>
      </c>
      <c r="BL206" s="384">
        <f t="shared" si="212"/>
        <v>0</v>
      </c>
      <c r="BM206" s="384">
        <f t="shared" si="212"/>
        <v>0</v>
      </c>
      <c r="BN206" s="384">
        <f t="shared" si="212"/>
        <v>0</v>
      </c>
      <c r="BO206" s="384">
        <f t="shared" si="212"/>
        <v>0</v>
      </c>
      <c r="BP206" s="384">
        <f t="shared" si="212"/>
        <v>0</v>
      </c>
      <c r="BQ206" s="384">
        <f t="shared" si="212"/>
        <v>0</v>
      </c>
      <c r="BR206" s="384">
        <f t="shared" si="212"/>
        <v>0</v>
      </c>
      <c r="BS206" s="384">
        <f t="shared" si="212"/>
        <v>0</v>
      </c>
      <c r="BT206" s="384">
        <f t="shared" si="212"/>
        <v>0</v>
      </c>
      <c r="BU206" s="384">
        <f t="shared" si="212"/>
        <v>0</v>
      </c>
      <c r="BV206" s="384">
        <f t="shared" si="212"/>
        <v>0</v>
      </c>
    </row>
    <row r="207" spans="1:74" ht="22.9" customHeight="1" x14ac:dyDescent="0.25">
      <c r="A207" s="408" t="s">
        <v>193</v>
      </c>
      <c r="B207" s="409"/>
      <c r="C207" s="374">
        <v>310</v>
      </c>
      <c r="D207" s="410"/>
      <c r="E207" s="384">
        <f>E199</f>
        <v>3327779</v>
      </c>
      <c r="F207" s="384">
        <f t="shared" ref="F207:BQ207" si="213">F199</f>
        <v>0</v>
      </c>
      <c r="G207" s="384">
        <f t="shared" si="213"/>
        <v>0</v>
      </c>
      <c r="H207" s="384">
        <f t="shared" si="213"/>
        <v>0</v>
      </c>
      <c r="I207" s="384">
        <f t="shared" si="213"/>
        <v>3327779</v>
      </c>
      <c r="J207" s="384">
        <f t="shared" si="213"/>
        <v>0</v>
      </c>
      <c r="K207" s="384">
        <f t="shared" si="213"/>
        <v>0</v>
      </c>
      <c r="L207" s="384">
        <f t="shared" si="213"/>
        <v>0</v>
      </c>
      <c r="M207" s="384">
        <f t="shared" si="213"/>
        <v>0</v>
      </c>
      <c r="N207" s="384">
        <f t="shared" si="213"/>
        <v>0</v>
      </c>
      <c r="O207" s="384">
        <f t="shared" si="213"/>
        <v>0</v>
      </c>
      <c r="P207" s="384">
        <f t="shared" si="213"/>
        <v>0</v>
      </c>
      <c r="Q207" s="384">
        <f t="shared" si="213"/>
        <v>0</v>
      </c>
      <c r="R207" s="384">
        <f t="shared" si="213"/>
        <v>0</v>
      </c>
      <c r="S207" s="384">
        <f t="shared" si="213"/>
        <v>0</v>
      </c>
      <c r="T207" s="384">
        <f t="shared" si="213"/>
        <v>0</v>
      </c>
      <c r="U207" s="384">
        <f t="shared" si="213"/>
        <v>0</v>
      </c>
      <c r="V207" s="384">
        <f t="shared" si="213"/>
        <v>0</v>
      </c>
      <c r="W207" s="384">
        <f t="shared" si="213"/>
        <v>0</v>
      </c>
      <c r="X207" s="384">
        <f t="shared" si="213"/>
        <v>0</v>
      </c>
      <c r="Y207" s="384">
        <f t="shared" si="213"/>
        <v>0</v>
      </c>
      <c r="Z207" s="384">
        <f t="shared" si="213"/>
        <v>0</v>
      </c>
      <c r="AA207" s="384">
        <f t="shared" si="213"/>
        <v>0</v>
      </c>
      <c r="AB207" s="384">
        <f t="shared" si="213"/>
        <v>0</v>
      </c>
      <c r="AC207" s="384">
        <f t="shared" si="213"/>
        <v>0</v>
      </c>
      <c r="AD207" s="384">
        <f t="shared" si="213"/>
        <v>0</v>
      </c>
      <c r="AE207" s="384">
        <f t="shared" si="213"/>
        <v>0</v>
      </c>
      <c r="AF207" s="384">
        <f t="shared" si="213"/>
        <v>0</v>
      </c>
      <c r="AG207" s="384">
        <f t="shared" si="213"/>
        <v>0</v>
      </c>
      <c r="AH207" s="384">
        <f t="shared" si="213"/>
        <v>0</v>
      </c>
      <c r="AI207" s="384">
        <f t="shared" si="213"/>
        <v>0</v>
      </c>
      <c r="AJ207" s="384">
        <f t="shared" si="213"/>
        <v>0</v>
      </c>
      <c r="AK207" s="384">
        <f t="shared" si="213"/>
        <v>0</v>
      </c>
      <c r="AL207" s="384">
        <f t="shared" si="213"/>
        <v>0</v>
      </c>
      <c r="AM207" s="384">
        <f t="shared" si="213"/>
        <v>0</v>
      </c>
      <c r="AN207" s="384">
        <f t="shared" si="213"/>
        <v>0</v>
      </c>
      <c r="AO207" s="384">
        <f t="shared" si="213"/>
        <v>0</v>
      </c>
      <c r="AP207" s="384">
        <f t="shared" si="213"/>
        <v>0</v>
      </c>
      <c r="AQ207" s="384">
        <f t="shared" si="213"/>
        <v>0</v>
      </c>
      <c r="AR207" s="384">
        <f t="shared" si="213"/>
        <v>0</v>
      </c>
      <c r="AS207" s="384">
        <f t="shared" si="213"/>
        <v>1857779</v>
      </c>
      <c r="AT207" s="384">
        <f t="shared" si="213"/>
        <v>0</v>
      </c>
      <c r="AU207" s="384">
        <f t="shared" si="213"/>
        <v>0</v>
      </c>
      <c r="AV207" s="384">
        <f t="shared" si="213"/>
        <v>0</v>
      </c>
      <c r="AW207" s="384">
        <f t="shared" si="213"/>
        <v>1857779</v>
      </c>
      <c r="AX207" s="384">
        <f t="shared" si="213"/>
        <v>1470000</v>
      </c>
      <c r="AY207" s="384">
        <f t="shared" si="213"/>
        <v>0</v>
      </c>
      <c r="AZ207" s="384">
        <f t="shared" si="213"/>
        <v>0</v>
      </c>
      <c r="BA207" s="384">
        <f t="shared" si="213"/>
        <v>0</v>
      </c>
      <c r="BB207" s="384">
        <f t="shared" si="213"/>
        <v>1470000</v>
      </c>
      <c r="BC207" s="384">
        <f t="shared" si="213"/>
        <v>0</v>
      </c>
      <c r="BD207" s="384">
        <f t="shared" si="213"/>
        <v>74.400000000000006</v>
      </c>
      <c r="BE207" s="384">
        <f t="shared" si="213"/>
        <v>0</v>
      </c>
      <c r="BF207" s="384">
        <f t="shared" si="213"/>
        <v>0</v>
      </c>
      <c r="BG207" s="384">
        <f t="shared" si="213"/>
        <v>0</v>
      </c>
      <c r="BH207" s="384">
        <f t="shared" si="213"/>
        <v>0</v>
      </c>
      <c r="BI207" s="384">
        <f t="shared" si="213"/>
        <v>0</v>
      </c>
      <c r="BJ207" s="384">
        <f t="shared" si="213"/>
        <v>0</v>
      </c>
      <c r="BK207" s="384">
        <f t="shared" si="213"/>
        <v>0</v>
      </c>
      <c r="BL207" s="384">
        <f t="shared" si="213"/>
        <v>0</v>
      </c>
      <c r="BM207" s="384">
        <f t="shared" si="213"/>
        <v>0</v>
      </c>
      <c r="BN207" s="384">
        <f t="shared" si="213"/>
        <v>0</v>
      </c>
      <c r="BO207" s="384">
        <f t="shared" si="213"/>
        <v>0</v>
      </c>
      <c r="BP207" s="384">
        <f t="shared" si="213"/>
        <v>0</v>
      </c>
      <c r="BQ207" s="384">
        <f t="shared" si="213"/>
        <v>0</v>
      </c>
      <c r="BR207" s="384">
        <f t="shared" ref="BR207:BV207" si="214">BR199</f>
        <v>0</v>
      </c>
      <c r="BS207" s="384">
        <f t="shared" si="214"/>
        <v>0</v>
      </c>
      <c r="BT207" s="384">
        <f t="shared" si="214"/>
        <v>0</v>
      </c>
      <c r="BU207" s="384">
        <f t="shared" si="214"/>
        <v>0</v>
      </c>
      <c r="BV207" s="384">
        <f t="shared" si="214"/>
        <v>0</v>
      </c>
    </row>
    <row r="208" spans="1:74" ht="27.6" customHeight="1" x14ac:dyDescent="0.25">
      <c r="A208" s="368" t="s">
        <v>18</v>
      </c>
      <c r="B208" s="369"/>
      <c r="C208" s="369"/>
      <c r="D208" s="411"/>
      <c r="E208" s="379"/>
      <c r="F208" s="379"/>
      <c r="G208" s="379"/>
      <c r="H208" s="379"/>
      <c r="I208" s="379"/>
      <c r="J208" s="379"/>
      <c r="K208" s="379"/>
      <c r="L208" s="379"/>
      <c r="M208" s="379"/>
      <c r="N208" s="379"/>
      <c r="O208" s="379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79"/>
      <c r="AA208" s="379"/>
      <c r="AB208" s="379"/>
      <c r="AC208" s="379"/>
      <c r="AD208" s="379"/>
      <c r="AE208" s="379"/>
      <c r="AF208" s="379"/>
      <c r="AG208" s="379"/>
      <c r="AH208" s="379"/>
      <c r="AI208" s="379"/>
      <c r="AJ208" s="379"/>
      <c r="AK208" s="379"/>
      <c r="AL208" s="379"/>
      <c r="AM208" s="379"/>
      <c r="AN208" s="379"/>
      <c r="AO208" s="379"/>
      <c r="AP208" s="379"/>
      <c r="AQ208" s="379"/>
      <c r="AR208" s="379"/>
      <c r="AS208" s="379"/>
      <c r="AT208" s="379"/>
      <c r="AU208" s="379"/>
      <c r="AV208" s="379"/>
      <c r="AW208" s="379"/>
      <c r="AX208" s="379"/>
      <c r="AY208" s="379"/>
      <c r="AZ208" s="379"/>
      <c r="BA208" s="379"/>
      <c r="BB208" s="379"/>
      <c r="BC208" s="379"/>
      <c r="BD208" s="379"/>
      <c r="BE208" s="379"/>
      <c r="BF208" s="379"/>
      <c r="BG208" s="379"/>
      <c r="BH208" s="379"/>
      <c r="BI208" s="379"/>
      <c r="BJ208" s="379"/>
      <c r="BK208" s="379"/>
      <c r="BL208" s="384"/>
      <c r="BM208" s="379"/>
      <c r="BN208" s="379"/>
      <c r="BO208" s="379"/>
      <c r="BP208" s="379"/>
      <c r="BQ208" s="379"/>
      <c r="BR208" s="379"/>
      <c r="BS208" s="379"/>
      <c r="BT208" s="379"/>
      <c r="BU208" s="379"/>
      <c r="BV208" s="384"/>
    </row>
    <row r="209" spans="1:74" ht="34.9" customHeight="1" x14ac:dyDescent="0.25">
      <c r="A209" s="382" t="s">
        <v>34</v>
      </c>
      <c r="B209" s="412" t="s">
        <v>705</v>
      </c>
      <c r="C209" s="377"/>
      <c r="D209" s="413"/>
      <c r="E209" s="384">
        <f>SUM(E210:E226)</f>
        <v>55349060.119999997</v>
      </c>
      <c r="F209" s="384">
        <f t="shared" ref="F209:BC209" si="215">SUM(F210:F226)</f>
        <v>19156430.629999999</v>
      </c>
      <c r="G209" s="384">
        <f t="shared" si="215"/>
        <v>8964305.6500000004</v>
      </c>
      <c r="H209" s="384">
        <f t="shared" si="215"/>
        <v>4101598.73</v>
      </c>
      <c r="I209" s="384">
        <f>SUM(I210:I226)</f>
        <v>23126725.109999999</v>
      </c>
      <c r="J209" s="384">
        <f t="shared" si="215"/>
        <v>0</v>
      </c>
      <c r="K209" s="384">
        <f t="shared" si="215"/>
        <v>0</v>
      </c>
      <c r="L209" s="384">
        <f t="shared" si="215"/>
        <v>0</v>
      </c>
      <c r="M209" s="384">
        <f t="shared" si="215"/>
        <v>0</v>
      </c>
      <c r="N209" s="384">
        <f t="shared" si="215"/>
        <v>0</v>
      </c>
      <c r="O209" s="384">
        <f t="shared" si="215"/>
        <v>2095750.42</v>
      </c>
      <c r="P209" s="384">
        <f t="shared" si="215"/>
        <v>0</v>
      </c>
      <c r="Q209" s="384">
        <f t="shared" si="215"/>
        <v>0</v>
      </c>
      <c r="R209" s="384">
        <f t="shared" si="215"/>
        <v>0</v>
      </c>
      <c r="S209" s="384">
        <f t="shared" si="215"/>
        <v>2095750.42</v>
      </c>
      <c r="T209" s="384">
        <f t="shared" si="215"/>
        <v>28154493.800000001</v>
      </c>
      <c r="U209" s="384">
        <f t="shared" si="215"/>
        <v>14879458.449999999</v>
      </c>
      <c r="V209" s="384">
        <f t="shared" si="215"/>
        <v>6962884.46</v>
      </c>
      <c r="W209" s="384">
        <f t="shared" si="215"/>
        <v>3185852.77</v>
      </c>
      <c r="X209" s="384">
        <f t="shared" si="215"/>
        <v>3126298.12</v>
      </c>
      <c r="Y209" s="384">
        <f t="shared" si="215"/>
        <v>15778507.810000001</v>
      </c>
      <c r="Z209" s="384">
        <f t="shared" si="215"/>
        <v>4276972.18</v>
      </c>
      <c r="AA209" s="384">
        <f t="shared" si="215"/>
        <v>2001421.19</v>
      </c>
      <c r="AB209" s="384">
        <f t="shared" si="215"/>
        <v>915745.96</v>
      </c>
      <c r="AC209" s="384">
        <f t="shared" si="215"/>
        <v>8584368.4800000004</v>
      </c>
      <c r="AD209" s="384">
        <f t="shared" si="215"/>
        <v>2108535.16</v>
      </c>
      <c r="AE209" s="384">
        <f t="shared" si="215"/>
        <v>0</v>
      </c>
      <c r="AF209" s="384">
        <f t="shared" si="215"/>
        <v>0</v>
      </c>
      <c r="AG209" s="384">
        <f t="shared" si="215"/>
        <v>0</v>
      </c>
      <c r="AH209" s="384">
        <f t="shared" si="215"/>
        <v>2108535.16</v>
      </c>
      <c r="AI209" s="384">
        <f t="shared" si="215"/>
        <v>6300491.9299999997</v>
      </c>
      <c r="AJ209" s="384">
        <f t="shared" si="215"/>
        <v>0</v>
      </c>
      <c r="AK209" s="384">
        <f t="shared" si="215"/>
        <v>0</v>
      </c>
      <c r="AL209" s="384">
        <f t="shared" si="215"/>
        <v>0</v>
      </c>
      <c r="AM209" s="384">
        <f t="shared" si="215"/>
        <v>6300491.9299999997</v>
      </c>
      <c r="AN209" s="384">
        <v>55800</v>
      </c>
      <c r="AO209" s="384">
        <v>0</v>
      </c>
      <c r="AP209" s="384">
        <v>0</v>
      </c>
      <c r="AQ209" s="384">
        <v>0</v>
      </c>
      <c r="AR209" s="384">
        <v>55800</v>
      </c>
      <c r="AS209" s="384">
        <f t="shared" ref="AS209:BB209" si="216">SUM(AS210:AS226)</f>
        <v>840731.1399999999</v>
      </c>
      <c r="AT209" s="384">
        <f t="shared" si="216"/>
        <v>0</v>
      </c>
      <c r="AU209" s="384">
        <f t="shared" si="216"/>
        <v>0</v>
      </c>
      <c r="AV209" s="384">
        <f t="shared" si="216"/>
        <v>0</v>
      </c>
      <c r="AW209" s="384">
        <f t="shared" si="216"/>
        <v>840731.1399999999</v>
      </c>
      <c r="AX209" s="384">
        <f t="shared" si="216"/>
        <v>0</v>
      </c>
      <c r="AY209" s="384">
        <f t="shared" si="216"/>
        <v>0</v>
      </c>
      <c r="AZ209" s="384">
        <f t="shared" si="216"/>
        <v>0</v>
      </c>
      <c r="BA209" s="384">
        <f t="shared" si="216"/>
        <v>0</v>
      </c>
      <c r="BB209" s="384">
        <f t="shared" si="216"/>
        <v>0</v>
      </c>
      <c r="BC209" s="384">
        <f t="shared" si="215"/>
        <v>14749.85999999995</v>
      </c>
      <c r="BD209" s="384">
        <f>BD210</f>
        <v>871.8</v>
      </c>
      <c r="BE209" s="384">
        <f t="shared" ref="BE209:BF209" si="217">BE210</f>
        <v>973.7</v>
      </c>
      <c r="BF209" s="384">
        <f t="shared" si="217"/>
        <v>1083.9000000000001</v>
      </c>
      <c r="BG209" s="384">
        <f t="shared" ref="BG209:BV209" si="218">SUM(BG210:BG226)</f>
        <v>0</v>
      </c>
      <c r="BH209" s="384">
        <f t="shared" si="218"/>
        <v>0</v>
      </c>
      <c r="BI209" s="384">
        <f t="shared" si="218"/>
        <v>0</v>
      </c>
      <c r="BJ209" s="384">
        <f t="shared" si="218"/>
        <v>0</v>
      </c>
      <c r="BK209" s="384">
        <f t="shared" si="218"/>
        <v>0</v>
      </c>
      <c r="BL209" s="384">
        <f t="shared" si="218"/>
        <v>14749.860000000008</v>
      </c>
      <c r="BM209" s="384">
        <f t="shared" si="218"/>
        <v>0</v>
      </c>
      <c r="BN209" s="384">
        <f t="shared" si="218"/>
        <v>0</v>
      </c>
      <c r="BO209" s="384">
        <f t="shared" si="218"/>
        <v>0</v>
      </c>
      <c r="BP209" s="384">
        <f t="shared" si="218"/>
        <v>14749.860000000008</v>
      </c>
      <c r="BQ209" s="384">
        <f t="shared" si="218"/>
        <v>0</v>
      </c>
      <c r="BR209" s="384">
        <f t="shared" si="218"/>
        <v>0</v>
      </c>
      <c r="BS209" s="384">
        <f t="shared" si="218"/>
        <v>0</v>
      </c>
      <c r="BT209" s="384">
        <f t="shared" si="218"/>
        <v>0</v>
      </c>
      <c r="BU209" s="384">
        <f t="shared" si="218"/>
        <v>0</v>
      </c>
      <c r="BV209" s="384">
        <f t="shared" si="218"/>
        <v>14749.85999999995</v>
      </c>
    </row>
    <row r="210" spans="1:74" ht="186" customHeight="1" x14ac:dyDescent="0.25">
      <c r="A210" s="382" t="s">
        <v>43</v>
      </c>
      <c r="B210" s="383" t="s">
        <v>32</v>
      </c>
      <c r="C210" s="374">
        <v>310</v>
      </c>
      <c r="D210" s="387" t="s">
        <v>610</v>
      </c>
      <c r="E210" s="384">
        <f>F210+G210+H210+I210</f>
        <v>48383466.82</v>
      </c>
      <c r="F210" s="384">
        <v>19156430.629999999</v>
      </c>
      <c r="G210" s="384">
        <v>8964305.6500000004</v>
      </c>
      <c r="H210" s="384">
        <v>4101598.73</v>
      </c>
      <c r="I210" s="384">
        <v>16161131.810000001</v>
      </c>
      <c r="J210" s="384">
        <f t="shared" ref="J210:J226" si="219">K210+L210+M210+N210</f>
        <v>0</v>
      </c>
      <c r="K210" s="384"/>
      <c r="L210" s="384"/>
      <c r="M210" s="384"/>
      <c r="N210" s="384"/>
      <c r="O210" s="384">
        <f>P210+Q210+R210+S210</f>
        <v>0</v>
      </c>
      <c r="P210" s="384"/>
      <c r="Q210" s="384"/>
      <c r="R210" s="384"/>
      <c r="S210" s="384"/>
      <c r="T210" s="384">
        <f t="shared" ref="T210:T226" si="220">U210+V210+W210+X210</f>
        <v>25028195.68</v>
      </c>
      <c r="U210" s="384">
        <v>14879458.449999999</v>
      </c>
      <c r="V210" s="384">
        <v>6962884.46</v>
      </c>
      <c r="W210" s="384">
        <v>3185852.77</v>
      </c>
      <c r="X210" s="384"/>
      <c r="Y210" s="384">
        <f t="shared" ref="Y210:Y226" si="221">Z210+AA210+AB210+AC210</f>
        <v>15220435.48</v>
      </c>
      <c r="Z210" s="384">
        <v>4276972.18</v>
      </c>
      <c r="AA210" s="384">
        <v>2001421.19</v>
      </c>
      <c r="AB210" s="384">
        <v>915745.96</v>
      </c>
      <c r="AC210" s="386">
        <v>8026296.1500000004</v>
      </c>
      <c r="AD210" s="384">
        <f t="shared" ref="AD210:AD218" si="222">SUM(AE210:AH210)</f>
        <v>1834343.73</v>
      </c>
      <c r="AE210" s="384"/>
      <c r="AF210" s="384"/>
      <c r="AG210" s="384"/>
      <c r="AH210" s="386">
        <v>1834343.73</v>
      </c>
      <c r="AI210" s="384">
        <f t="shared" ref="AI210:AI218" si="223">SUM(AJ210:AM210)</f>
        <v>6300491.9299999997</v>
      </c>
      <c r="AJ210" s="384"/>
      <c r="AK210" s="384"/>
      <c r="AL210" s="384"/>
      <c r="AM210" s="386">
        <v>6300491.9299999997</v>
      </c>
      <c r="AN210" s="384">
        <v>0</v>
      </c>
      <c r="AO210" s="384"/>
      <c r="AP210" s="384"/>
      <c r="AQ210" s="384"/>
      <c r="AR210" s="386"/>
      <c r="AS210" s="384">
        <f t="shared" ref="AS210:AS218" si="224">SUM(AT210:AW210)</f>
        <v>0</v>
      </c>
      <c r="AT210" s="384"/>
      <c r="AU210" s="384"/>
      <c r="AV210" s="384"/>
      <c r="AW210" s="386"/>
      <c r="AX210" s="384">
        <f t="shared" ref="AX210:AX218" si="225">SUM(AY210:BB210)</f>
        <v>0</v>
      </c>
      <c r="AY210" s="384"/>
      <c r="AZ210" s="384"/>
      <c r="BA210" s="384"/>
      <c r="BB210" s="386"/>
      <c r="BC210" s="384">
        <f>E210-J210-O210-T210-Y210-AD210-AI210-AN210-AS210-AX210</f>
        <v>0</v>
      </c>
      <c r="BD210" s="384">
        <v>871.8</v>
      </c>
      <c r="BE210" s="384">
        <v>973.7</v>
      </c>
      <c r="BF210" s="384">
        <v>1083.9000000000001</v>
      </c>
      <c r="BG210" s="384">
        <f t="shared" ref="BG210:BG224" si="226">SUM(BH210:BK210)</f>
        <v>0</v>
      </c>
      <c r="BH210" s="384"/>
      <c r="BI210" s="384"/>
      <c r="BJ210" s="384"/>
      <c r="BK210" s="386"/>
      <c r="BL210" s="384">
        <f t="shared" si="190"/>
        <v>0</v>
      </c>
      <c r="BM210" s="384"/>
      <c r="BN210" s="384"/>
      <c r="BO210" s="384"/>
      <c r="BP210" s="384"/>
      <c r="BQ210" s="384">
        <f t="shared" ref="BQ210:BQ224" si="227">SUM(BR210:BU210)</f>
        <v>0</v>
      </c>
      <c r="BR210" s="384"/>
      <c r="BS210" s="384"/>
      <c r="BT210" s="384"/>
      <c r="BU210" s="386"/>
      <c r="BV210" s="384">
        <f t="shared" ref="BV210:BV226" si="228">BC210-BQ210</f>
        <v>0</v>
      </c>
    </row>
    <row r="211" spans="1:74" ht="36" customHeight="1" x14ac:dyDescent="0.25">
      <c r="A211" s="382" t="s">
        <v>44</v>
      </c>
      <c r="B211" s="383" t="s">
        <v>8</v>
      </c>
      <c r="C211" s="374">
        <v>226</v>
      </c>
      <c r="D211" s="387" t="s">
        <v>169</v>
      </c>
      <c r="E211" s="384">
        <f t="shared" ref="E211:E224" si="229">F211+G211+H211+I211</f>
        <v>10000</v>
      </c>
      <c r="F211" s="384"/>
      <c r="G211" s="384"/>
      <c r="H211" s="384"/>
      <c r="I211" s="384">
        <v>10000</v>
      </c>
      <c r="J211" s="384">
        <f t="shared" si="219"/>
        <v>0</v>
      </c>
      <c r="K211" s="384"/>
      <c r="L211" s="384"/>
      <c r="M211" s="384"/>
      <c r="N211" s="384"/>
      <c r="O211" s="384">
        <f t="shared" ref="O211:O244" si="230">P211+Q211+R211+S211</f>
        <v>10000</v>
      </c>
      <c r="P211" s="384"/>
      <c r="Q211" s="384"/>
      <c r="R211" s="384"/>
      <c r="S211" s="384">
        <v>10000</v>
      </c>
      <c r="T211" s="384">
        <f t="shared" si="220"/>
        <v>0</v>
      </c>
      <c r="U211" s="384"/>
      <c r="V211" s="384"/>
      <c r="W211" s="384"/>
      <c r="X211" s="384"/>
      <c r="Y211" s="384">
        <f t="shared" si="221"/>
        <v>0</v>
      </c>
      <c r="Z211" s="384"/>
      <c r="AA211" s="384"/>
      <c r="AB211" s="384"/>
      <c r="AC211" s="386"/>
      <c r="AD211" s="384">
        <f t="shared" si="222"/>
        <v>0</v>
      </c>
      <c r="AE211" s="384"/>
      <c r="AF211" s="384"/>
      <c r="AG211" s="384"/>
      <c r="AH211" s="386"/>
      <c r="AI211" s="384">
        <f t="shared" si="223"/>
        <v>0</v>
      </c>
      <c r="AJ211" s="384"/>
      <c r="AK211" s="384"/>
      <c r="AL211" s="384"/>
      <c r="AM211" s="386"/>
      <c r="AN211" s="384">
        <v>0</v>
      </c>
      <c r="AO211" s="384"/>
      <c r="AP211" s="384"/>
      <c r="AQ211" s="384"/>
      <c r="AR211" s="386"/>
      <c r="AS211" s="384">
        <f t="shared" si="224"/>
        <v>0</v>
      </c>
      <c r="AT211" s="384"/>
      <c r="AU211" s="384"/>
      <c r="AV211" s="384"/>
      <c r="AW211" s="386"/>
      <c r="AX211" s="384">
        <f t="shared" si="225"/>
        <v>0</v>
      </c>
      <c r="AY211" s="384"/>
      <c r="AZ211" s="384"/>
      <c r="BA211" s="384"/>
      <c r="BB211" s="386"/>
      <c r="BC211" s="384">
        <f t="shared" ref="BC211:BC226" si="231">E211-J211-O211-T211-Y211-AD211-AI211-AN211-AS211-AX211</f>
        <v>0</v>
      </c>
      <c r="BD211" s="384"/>
      <c r="BE211" s="384"/>
      <c r="BF211" s="384"/>
      <c r="BG211" s="384">
        <f t="shared" si="226"/>
        <v>0</v>
      </c>
      <c r="BH211" s="384"/>
      <c r="BI211" s="384"/>
      <c r="BJ211" s="384"/>
      <c r="BK211" s="384"/>
      <c r="BL211" s="384">
        <f t="shared" si="190"/>
        <v>0</v>
      </c>
      <c r="BM211" s="384"/>
      <c r="BN211" s="384"/>
      <c r="BO211" s="384"/>
      <c r="BP211" s="384"/>
      <c r="BQ211" s="384">
        <f t="shared" si="227"/>
        <v>0</v>
      </c>
      <c r="BR211" s="384"/>
      <c r="BS211" s="384"/>
      <c r="BT211" s="384"/>
      <c r="BU211" s="386"/>
      <c r="BV211" s="384">
        <f t="shared" si="228"/>
        <v>0</v>
      </c>
    </row>
    <row r="212" spans="1:74" ht="42" customHeight="1" x14ac:dyDescent="0.25">
      <c r="A212" s="382" t="s">
        <v>45</v>
      </c>
      <c r="B212" s="383" t="s">
        <v>1</v>
      </c>
      <c r="C212" s="374">
        <v>226</v>
      </c>
      <c r="D212" s="387" t="s">
        <v>611</v>
      </c>
      <c r="E212" s="384">
        <f t="shared" si="229"/>
        <v>310000</v>
      </c>
      <c r="F212" s="384"/>
      <c r="G212" s="384"/>
      <c r="H212" s="384"/>
      <c r="I212" s="384">
        <v>310000</v>
      </c>
      <c r="J212" s="384">
        <f t="shared" si="219"/>
        <v>0</v>
      </c>
      <c r="K212" s="384"/>
      <c r="L212" s="384"/>
      <c r="M212" s="384"/>
      <c r="N212" s="384"/>
      <c r="O212" s="384">
        <f t="shared" si="230"/>
        <v>310000</v>
      </c>
      <c r="P212" s="384"/>
      <c r="Q212" s="384"/>
      <c r="R212" s="384"/>
      <c r="S212" s="384">
        <v>310000</v>
      </c>
      <c r="T212" s="384">
        <f t="shared" si="220"/>
        <v>0</v>
      </c>
      <c r="U212" s="384"/>
      <c r="V212" s="384"/>
      <c r="W212" s="384"/>
      <c r="X212" s="384"/>
      <c r="Y212" s="384">
        <f t="shared" si="221"/>
        <v>0</v>
      </c>
      <c r="Z212" s="384"/>
      <c r="AA212" s="384"/>
      <c r="AB212" s="384"/>
      <c r="AC212" s="386"/>
      <c r="AD212" s="384">
        <f t="shared" si="222"/>
        <v>0</v>
      </c>
      <c r="AE212" s="384"/>
      <c r="AF212" s="384"/>
      <c r="AG212" s="384"/>
      <c r="AH212" s="386"/>
      <c r="AI212" s="384">
        <f t="shared" si="223"/>
        <v>0</v>
      </c>
      <c r="AJ212" s="384"/>
      <c r="AK212" s="384"/>
      <c r="AL212" s="384"/>
      <c r="AM212" s="386"/>
      <c r="AN212" s="384">
        <v>0</v>
      </c>
      <c r="AO212" s="384"/>
      <c r="AP212" s="384"/>
      <c r="AQ212" s="384"/>
      <c r="AR212" s="386"/>
      <c r="AS212" s="384">
        <f t="shared" si="224"/>
        <v>0</v>
      </c>
      <c r="AT212" s="384"/>
      <c r="AU212" s="384"/>
      <c r="AV212" s="384"/>
      <c r="AW212" s="386"/>
      <c r="AX212" s="384">
        <f t="shared" si="225"/>
        <v>0</v>
      </c>
      <c r="AY212" s="384"/>
      <c r="AZ212" s="384"/>
      <c r="BA212" s="384"/>
      <c r="BB212" s="386"/>
      <c r="BC212" s="384">
        <f t="shared" si="231"/>
        <v>0</v>
      </c>
      <c r="BD212" s="384"/>
      <c r="BE212" s="384"/>
      <c r="BF212" s="384"/>
      <c r="BG212" s="384">
        <f t="shared" si="226"/>
        <v>0</v>
      </c>
      <c r="BH212" s="384"/>
      <c r="BI212" s="384"/>
      <c r="BJ212" s="384"/>
      <c r="BK212" s="384"/>
      <c r="BL212" s="384">
        <f t="shared" si="190"/>
        <v>0</v>
      </c>
      <c r="BM212" s="384"/>
      <c r="BN212" s="384"/>
      <c r="BO212" s="384"/>
      <c r="BP212" s="384"/>
      <c r="BQ212" s="384">
        <f t="shared" si="227"/>
        <v>0</v>
      </c>
      <c r="BR212" s="384"/>
      <c r="BS212" s="384"/>
      <c r="BT212" s="384"/>
      <c r="BU212" s="386"/>
      <c r="BV212" s="384">
        <f t="shared" si="228"/>
        <v>0</v>
      </c>
    </row>
    <row r="213" spans="1:74" ht="43.15" customHeight="1" x14ac:dyDescent="0.25">
      <c r="A213" s="382" t="s">
        <v>46</v>
      </c>
      <c r="B213" s="383" t="s">
        <v>11</v>
      </c>
      <c r="C213" s="374">
        <v>226</v>
      </c>
      <c r="D213" s="387" t="s">
        <v>612</v>
      </c>
      <c r="E213" s="384">
        <f t="shared" si="229"/>
        <v>1400321.21</v>
      </c>
      <c r="F213" s="384"/>
      <c r="G213" s="384"/>
      <c r="H213" s="384"/>
      <c r="I213" s="384">
        <v>1400321.21</v>
      </c>
      <c r="J213" s="384">
        <f t="shared" si="219"/>
        <v>0</v>
      </c>
      <c r="K213" s="384"/>
      <c r="L213" s="384"/>
      <c r="M213" s="384"/>
      <c r="N213" s="384"/>
      <c r="O213" s="384">
        <f t="shared" si="230"/>
        <v>1400321.21</v>
      </c>
      <c r="P213" s="384"/>
      <c r="Q213" s="384"/>
      <c r="R213" s="384"/>
      <c r="S213" s="384">
        <v>1400321.21</v>
      </c>
      <c r="T213" s="384">
        <f t="shared" si="220"/>
        <v>0</v>
      </c>
      <c r="U213" s="384"/>
      <c r="V213" s="384"/>
      <c r="W213" s="384"/>
      <c r="X213" s="384"/>
      <c r="Y213" s="384">
        <f t="shared" si="221"/>
        <v>0</v>
      </c>
      <c r="Z213" s="384"/>
      <c r="AA213" s="384"/>
      <c r="AB213" s="384"/>
      <c r="AC213" s="386"/>
      <c r="AD213" s="384">
        <f t="shared" si="222"/>
        <v>0</v>
      </c>
      <c r="AE213" s="384"/>
      <c r="AF213" s="384"/>
      <c r="AG213" s="384"/>
      <c r="AH213" s="386"/>
      <c r="AI213" s="384">
        <f t="shared" si="223"/>
        <v>0</v>
      </c>
      <c r="AJ213" s="384"/>
      <c r="AK213" s="384"/>
      <c r="AL213" s="384"/>
      <c r="AM213" s="386"/>
      <c r="AN213" s="384">
        <v>0</v>
      </c>
      <c r="AO213" s="384"/>
      <c r="AP213" s="384"/>
      <c r="AQ213" s="384"/>
      <c r="AR213" s="386"/>
      <c r="AS213" s="384">
        <f t="shared" si="224"/>
        <v>0</v>
      </c>
      <c r="AT213" s="384"/>
      <c r="AU213" s="384"/>
      <c r="AV213" s="384"/>
      <c r="AW213" s="386"/>
      <c r="AX213" s="384">
        <f t="shared" si="225"/>
        <v>0</v>
      </c>
      <c r="AY213" s="384"/>
      <c r="AZ213" s="384"/>
      <c r="BA213" s="384"/>
      <c r="BB213" s="386"/>
      <c r="BC213" s="384">
        <f t="shared" si="231"/>
        <v>0</v>
      </c>
      <c r="BD213" s="384"/>
      <c r="BE213" s="384"/>
      <c r="BF213" s="384"/>
      <c r="BG213" s="384">
        <f t="shared" si="226"/>
        <v>0</v>
      </c>
      <c r="BH213" s="384"/>
      <c r="BI213" s="384"/>
      <c r="BJ213" s="384"/>
      <c r="BK213" s="384"/>
      <c r="BL213" s="384">
        <f t="shared" si="190"/>
        <v>0</v>
      </c>
      <c r="BM213" s="384"/>
      <c r="BN213" s="384"/>
      <c r="BO213" s="384"/>
      <c r="BP213" s="384"/>
      <c r="BQ213" s="384">
        <f t="shared" si="227"/>
        <v>0</v>
      </c>
      <c r="BR213" s="384"/>
      <c r="BS213" s="384"/>
      <c r="BT213" s="384"/>
      <c r="BU213" s="386"/>
      <c r="BV213" s="384">
        <f t="shared" si="228"/>
        <v>0</v>
      </c>
    </row>
    <row r="214" spans="1:74" ht="43.15" customHeight="1" x14ac:dyDescent="0.25">
      <c r="A214" s="382" t="s">
        <v>47</v>
      </c>
      <c r="B214" s="383" t="s">
        <v>20</v>
      </c>
      <c r="C214" s="374">
        <v>226</v>
      </c>
      <c r="D214" s="387" t="s">
        <v>613</v>
      </c>
      <c r="E214" s="384">
        <f t="shared" si="229"/>
        <v>92210.74</v>
      </c>
      <c r="F214" s="384"/>
      <c r="G214" s="384"/>
      <c r="H214" s="384"/>
      <c r="I214" s="384">
        <v>92210.74</v>
      </c>
      <c r="J214" s="384">
        <f t="shared" si="219"/>
        <v>0</v>
      </c>
      <c r="K214" s="384"/>
      <c r="L214" s="384"/>
      <c r="M214" s="384"/>
      <c r="N214" s="384"/>
      <c r="O214" s="384">
        <f t="shared" si="230"/>
        <v>0</v>
      </c>
      <c r="P214" s="384"/>
      <c r="Q214" s="384"/>
      <c r="R214" s="384"/>
      <c r="S214" s="384"/>
      <c r="T214" s="384">
        <f t="shared" si="220"/>
        <v>27680.87</v>
      </c>
      <c r="U214" s="384"/>
      <c r="V214" s="384"/>
      <c r="W214" s="384"/>
      <c r="X214" s="384">
        <v>27680.87</v>
      </c>
      <c r="Y214" s="384">
        <f t="shared" si="221"/>
        <v>49780.01</v>
      </c>
      <c r="Z214" s="384"/>
      <c r="AA214" s="384"/>
      <c r="AC214" s="386">
        <f>22209.57+6510.95+3958.67+963.44+5309.89+10827.49</f>
        <v>49780.01</v>
      </c>
      <c r="AD214" s="384">
        <f t="shared" si="222"/>
        <v>0</v>
      </c>
      <c r="AE214" s="384"/>
      <c r="AF214" s="384"/>
      <c r="AH214" s="386"/>
      <c r="AI214" s="384">
        <f t="shared" si="223"/>
        <v>0</v>
      </c>
      <c r="AJ214" s="384"/>
      <c r="AK214" s="384"/>
      <c r="AM214" s="386"/>
      <c r="AN214" s="384">
        <v>0</v>
      </c>
      <c r="AO214" s="384"/>
      <c r="AP214" s="384"/>
      <c r="AR214" s="386"/>
      <c r="AS214" s="384">
        <f t="shared" si="224"/>
        <v>0</v>
      </c>
      <c r="AT214" s="384"/>
      <c r="AU214" s="384"/>
      <c r="AW214" s="386"/>
      <c r="AX214" s="384">
        <f t="shared" si="225"/>
        <v>0</v>
      </c>
      <c r="AY214" s="384"/>
      <c r="AZ214" s="384"/>
      <c r="BB214" s="386"/>
      <c r="BC214" s="384">
        <f t="shared" si="231"/>
        <v>14749.860000000008</v>
      </c>
      <c r="BD214" s="384"/>
      <c r="BE214" s="384"/>
      <c r="BF214" s="384"/>
      <c r="BG214" s="384">
        <f t="shared" si="226"/>
        <v>0</v>
      </c>
      <c r="BH214" s="384"/>
      <c r="BI214" s="384"/>
      <c r="BJ214" s="384"/>
      <c r="BK214" s="384"/>
      <c r="BL214" s="384">
        <f t="shared" si="190"/>
        <v>14749.860000000008</v>
      </c>
      <c r="BM214" s="384"/>
      <c r="BN214" s="384"/>
      <c r="BO214" s="384"/>
      <c r="BP214" s="384">
        <f>I214-N214-S214-X214-AC214-AH214-BK214-BB214-AM214-AR214-AW214</f>
        <v>14749.860000000008</v>
      </c>
      <c r="BQ214" s="384">
        <f t="shared" si="227"/>
        <v>0</v>
      </c>
      <c r="BR214" s="384"/>
      <c r="BS214" s="384"/>
      <c r="BU214" s="386"/>
      <c r="BV214" s="384">
        <f t="shared" si="228"/>
        <v>14749.860000000008</v>
      </c>
    </row>
    <row r="215" spans="1:74" ht="42" customHeight="1" x14ac:dyDescent="0.25">
      <c r="A215" s="382" t="s">
        <v>48</v>
      </c>
      <c r="B215" s="383" t="s">
        <v>12</v>
      </c>
      <c r="C215" s="374">
        <v>226</v>
      </c>
      <c r="D215" s="387" t="s">
        <v>614</v>
      </c>
      <c r="E215" s="384">
        <f t="shared" si="229"/>
        <v>348883.14</v>
      </c>
      <c r="F215" s="384"/>
      <c r="G215" s="384"/>
      <c r="H215" s="384"/>
      <c r="I215" s="384">
        <v>348883.14</v>
      </c>
      <c r="J215" s="384">
        <f t="shared" si="219"/>
        <v>0</v>
      </c>
      <c r="K215" s="384"/>
      <c r="L215" s="384"/>
      <c r="M215" s="384"/>
      <c r="N215" s="384"/>
      <c r="O215" s="384">
        <f t="shared" si="230"/>
        <v>104664.94</v>
      </c>
      <c r="P215" s="384"/>
      <c r="Q215" s="384"/>
      <c r="R215" s="384"/>
      <c r="S215" s="384">
        <v>104664.94</v>
      </c>
      <c r="T215" s="384">
        <f t="shared" si="220"/>
        <v>0</v>
      </c>
      <c r="U215" s="384"/>
      <c r="V215" s="384"/>
      <c r="W215" s="384"/>
      <c r="X215" s="384"/>
      <c r="Y215" s="384">
        <f t="shared" si="221"/>
        <v>0</v>
      </c>
      <c r="Z215" s="384"/>
      <c r="AA215" s="384"/>
      <c r="AB215" s="384"/>
      <c r="AC215" s="386"/>
      <c r="AD215" s="384">
        <f t="shared" si="222"/>
        <v>244218.2</v>
      </c>
      <c r="AE215" s="384"/>
      <c r="AF215" s="384"/>
      <c r="AG215" s="384"/>
      <c r="AH215" s="386">
        <v>244218.2</v>
      </c>
      <c r="AI215" s="384">
        <f t="shared" si="223"/>
        <v>0</v>
      </c>
      <c r="AJ215" s="384"/>
      <c r="AK215" s="384"/>
      <c r="AL215" s="384"/>
      <c r="AM215" s="386"/>
      <c r="AN215" s="384">
        <v>0</v>
      </c>
      <c r="AO215" s="384"/>
      <c r="AP215" s="384"/>
      <c r="AQ215" s="384"/>
      <c r="AR215" s="386"/>
      <c r="AS215" s="384">
        <f t="shared" si="224"/>
        <v>0</v>
      </c>
      <c r="AT215" s="384"/>
      <c r="AU215" s="384"/>
      <c r="AV215" s="384"/>
      <c r="AW215" s="386"/>
      <c r="AX215" s="384">
        <f t="shared" si="225"/>
        <v>0</v>
      </c>
      <c r="AY215" s="384"/>
      <c r="AZ215" s="384"/>
      <c r="BA215" s="384"/>
      <c r="BB215" s="386"/>
      <c r="BC215" s="384">
        <f t="shared" si="231"/>
        <v>0</v>
      </c>
      <c r="BD215" s="384"/>
      <c r="BE215" s="384"/>
      <c r="BF215" s="384"/>
      <c r="BG215" s="384">
        <f t="shared" si="226"/>
        <v>0</v>
      </c>
      <c r="BH215" s="384"/>
      <c r="BI215" s="384"/>
      <c r="BJ215" s="384"/>
      <c r="BK215" s="384"/>
      <c r="BL215" s="384">
        <f t="shared" si="190"/>
        <v>0</v>
      </c>
      <c r="BM215" s="384"/>
      <c r="BN215" s="384"/>
      <c r="BO215" s="384"/>
      <c r="BP215" s="384"/>
      <c r="BQ215" s="384">
        <f t="shared" si="227"/>
        <v>0</v>
      </c>
      <c r="BR215" s="384"/>
      <c r="BS215" s="384"/>
      <c r="BT215" s="384"/>
      <c r="BU215" s="386"/>
      <c r="BV215" s="384">
        <f t="shared" si="228"/>
        <v>0</v>
      </c>
    </row>
    <row r="216" spans="1:74" ht="40.9" customHeight="1" x14ac:dyDescent="0.25">
      <c r="A216" s="382" t="s">
        <v>49</v>
      </c>
      <c r="B216" s="383" t="s">
        <v>13</v>
      </c>
      <c r="C216" s="374">
        <v>226</v>
      </c>
      <c r="D216" s="387" t="s">
        <v>615</v>
      </c>
      <c r="E216" s="384">
        <f t="shared" si="229"/>
        <v>692638.78</v>
      </c>
      <c r="F216" s="384"/>
      <c r="G216" s="384"/>
      <c r="H216" s="384"/>
      <c r="I216" s="384">
        <v>692638.78</v>
      </c>
      <c r="J216" s="384">
        <f t="shared" si="219"/>
        <v>0</v>
      </c>
      <c r="K216" s="384"/>
      <c r="L216" s="384"/>
      <c r="M216" s="384"/>
      <c r="N216" s="384"/>
      <c r="O216" s="384">
        <f t="shared" si="230"/>
        <v>0</v>
      </c>
      <c r="P216" s="384"/>
      <c r="Q216" s="384"/>
      <c r="R216" s="384"/>
      <c r="S216" s="384"/>
      <c r="T216" s="384">
        <f t="shared" si="220"/>
        <v>450215.21</v>
      </c>
      <c r="U216" s="384"/>
      <c r="V216" s="384"/>
      <c r="W216" s="384"/>
      <c r="X216" s="384">
        <v>450215.21</v>
      </c>
      <c r="Y216" s="384">
        <f t="shared" si="221"/>
        <v>242423.57</v>
      </c>
      <c r="Z216" s="384"/>
      <c r="AA216" s="384"/>
      <c r="AB216" s="384"/>
      <c r="AC216" s="386">
        <v>242423.57</v>
      </c>
      <c r="AD216" s="384">
        <f t="shared" si="222"/>
        <v>0</v>
      </c>
      <c r="AE216" s="384"/>
      <c r="AF216" s="384"/>
      <c r="AG216" s="384"/>
      <c r="AH216" s="386"/>
      <c r="AI216" s="384">
        <f t="shared" si="223"/>
        <v>0</v>
      </c>
      <c r="AJ216" s="384"/>
      <c r="AK216" s="384"/>
      <c r="AL216" s="384"/>
      <c r="AM216" s="386"/>
      <c r="AN216" s="384">
        <v>0</v>
      </c>
      <c r="AO216" s="384"/>
      <c r="AP216" s="384"/>
      <c r="AQ216" s="384"/>
      <c r="AR216" s="386"/>
      <c r="AS216" s="384">
        <f t="shared" si="224"/>
        <v>0</v>
      </c>
      <c r="AT216" s="384"/>
      <c r="AU216" s="384"/>
      <c r="AV216" s="384"/>
      <c r="AW216" s="386"/>
      <c r="AX216" s="384">
        <f t="shared" si="225"/>
        <v>0</v>
      </c>
      <c r="AY216" s="384"/>
      <c r="AZ216" s="384"/>
      <c r="BA216" s="384"/>
      <c r="BB216" s="386"/>
      <c r="BC216" s="384">
        <f t="shared" si="231"/>
        <v>0</v>
      </c>
      <c r="BD216" s="384"/>
      <c r="BE216" s="384"/>
      <c r="BF216" s="384"/>
      <c r="BG216" s="384">
        <f t="shared" si="226"/>
        <v>0</v>
      </c>
      <c r="BH216" s="384"/>
      <c r="BI216" s="384"/>
      <c r="BJ216" s="384"/>
      <c r="BK216" s="384"/>
      <c r="BL216" s="384">
        <f t="shared" si="190"/>
        <v>0</v>
      </c>
      <c r="BM216" s="384"/>
      <c r="BN216" s="384"/>
      <c r="BO216" s="384"/>
      <c r="BP216" s="384"/>
      <c r="BQ216" s="384">
        <f t="shared" si="227"/>
        <v>0</v>
      </c>
      <c r="BR216" s="384"/>
      <c r="BS216" s="384"/>
      <c r="BT216" s="384"/>
      <c r="BU216" s="386"/>
      <c r="BV216" s="384">
        <f t="shared" si="228"/>
        <v>0</v>
      </c>
    </row>
    <row r="217" spans="1:74" ht="43.9" customHeight="1" x14ac:dyDescent="0.25">
      <c r="A217" s="382" t="s">
        <v>50</v>
      </c>
      <c r="B217" s="383" t="s">
        <v>15</v>
      </c>
      <c r="C217" s="374">
        <v>226</v>
      </c>
      <c r="D217" s="387" t="s">
        <v>616</v>
      </c>
      <c r="E217" s="384">
        <f t="shared" si="229"/>
        <v>759625.01</v>
      </c>
      <c r="F217" s="384"/>
      <c r="G217" s="384"/>
      <c r="H217" s="384"/>
      <c r="I217" s="384">
        <v>759625.01</v>
      </c>
      <c r="J217" s="384">
        <f t="shared" si="219"/>
        <v>0</v>
      </c>
      <c r="K217" s="384"/>
      <c r="L217" s="384"/>
      <c r="M217" s="384"/>
      <c r="N217" s="384"/>
      <c r="O217" s="384">
        <f t="shared" si="230"/>
        <v>0</v>
      </c>
      <c r="P217" s="384"/>
      <c r="Q217" s="384"/>
      <c r="R217" s="384"/>
      <c r="S217" s="384"/>
      <c r="T217" s="384">
        <f t="shared" si="220"/>
        <v>493756.26</v>
      </c>
      <c r="U217" s="384"/>
      <c r="V217" s="384"/>
      <c r="W217" s="384"/>
      <c r="X217" s="384">
        <v>493756.26</v>
      </c>
      <c r="Y217" s="384">
        <f t="shared" si="221"/>
        <v>265868.75</v>
      </c>
      <c r="Z217" s="384"/>
      <c r="AA217" s="384"/>
      <c r="AB217" s="384"/>
      <c r="AC217" s="386">
        <v>265868.75</v>
      </c>
      <c r="AD217" s="384">
        <f t="shared" si="222"/>
        <v>0</v>
      </c>
      <c r="AE217" s="384"/>
      <c r="AF217" s="384"/>
      <c r="AG217" s="384"/>
      <c r="AH217" s="386"/>
      <c r="AI217" s="384">
        <f t="shared" si="223"/>
        <v>0</v>
      </c>
      <c r="AJ217" s="384"/>
      <c r="AK217" s="384"/>
      <c r="AL217" s="384"/>
      <c r="AM217" s="386"/>
      <c r="AN217" s="384">
        <v>0</v>
      </c>
      <c r="AO217" s="384"/>
      <c r="AP217" s="384"/>
      <c r="AQ217" s="384"/>
      <c r="AR217" s="386"/>
      <c r="AS217" s="384">
        <f t="shared" si="224"/>
        <v>0</v>
      </c>
      <c r="AT217" s="384"/>
      <c r="AU217" s="384"/>
      <c r="AV217" s="384"/>
      <c r="AW217" s="386"/>
      <c r="AX217" s="384">
        <f t="shared" si="225"/>
        <v>0</v>
      </c>
      <c r="AY217" s="384"/>
      <c r="AZ217" s="384"/>
      <c r="BA217" s="384"/>
      <c r="BB217" s="386"/>
      <c r="BC217" s="384">
        <f t="shared" si="231"/>
        <v>0</v>
      </c>
      <c r="BD217" s="384"/>
      <c r="BE217" s="384"/>
      <c r="BF217" s="384"/>
      <c r="BG217" s="384">
        <f t="shared" si="226"/>
        <v>0</v>
      </c>
      <c r="BH217" s="384"/>
      <c r="BI217" s="384"/>
      <c r="BJ217" s="384"/>
      <c r="BK217" s="384"/>
      <c r="BL217" s="384">
        <f t="shared" si="190"/>
        <v>0</v>
      </c>
      <c r="BM217" s="384"/>
      <c r="BN217" s="384"/>
      <c r="BO217" s="384"/>
      <c r="BP217" s="384"/>
      <c r="BQ217" s="384">
        <f t="shared" si="227"/>
        <v>0</v>
      </c>
      <c r="BR217" s="384"/>
      <c r="BS217" s="384"/>
      <c r="BT217" s="384"/>
      <c r="BU217" s="386"/>
      <c r="BV217" s="384">
        <f t="shared" si="228"/>
        <v>0</v>
      </c>
    </row>
    <row r="218" spans="1:74" ht="39.6" customHeight="1" x14ac:dyDescent="0.25">
      <c r="A218" s="382" t="s">
        <v>51</v>
      </c>
      <c r="B218" s="383" t="s">
        <v>14</v>
      </c>
      <c r="C218" s="374">
        <v>226</v>
      </c>
      <c r="D218" s="387" t="s">
        <v>617</v>
      </c>
      <c r="E218" s="384">
        <f t="shared" si="229"/>
        <v>2402088.98</v>
      </c>
      <c r="F218" s="384"/>
      <c r="G218" s="384"/>
      <c r="H218" s="384"/>
      <c r="I218" s="384">
        <v>2402088.98</v>
      </c>
      <c r="J218" s="384">
        <f t="shared" si="219"/>
        <v>0</v>
      </c>
      <c r="K218" s="384"/>
      <c r="L218" s="384"/>
      <c r="M218" s="384"/>
      <c r="N218" s="384"/>
      <c r="O218" s="384">
        <f t="shared" si="230"/>
        <v>0</v>
      </c>
      <c r="P218" s="384"/>
      <c r="Q218" s="384"/>
      <c r="R218" s="384"/>
      <c r="S218" s="384"/>
      <c r="T218" s="384">
        <f t="shared" si="220"/>
        <v>1561357.84</v>
      </c>
      <c r="U218" s="384"/>
      <c r="V218" s="384"/>
      <c r="W218" s="384"/>
      <c r="X218" s="384">
        <v>1561357.84</v>
      </c>
      <c r="Y218" s="384">
        <f t="shared" si="221"/>
        <v>0</v>
      </c>
      <c r="Z218" s="384"/>
      <c r="AA218" s="384"/>
      <c r="AB218" s="384"/>
      <c r="AC218" s="386"/>
      <c r="AD218" s="384">
        <f t="shared" si="222"/>
        <v>0</v>
      </c>
      <c r="AE218" s="384"/>
      <c r="AF218" s="384"/>
      <c r="AG218" s="384"/>
      <c r="AH218" s="386"/>
      <c r="AI218" s="384">
        <f t="shared" si="223"/>
        <v>0</v>
      </c>
      <c r="AJ218" s="384"/>
      <c r="AK218" s="384"/>
      <c r="AL218" s="384"/>
      <c r="AM218" s="386"/>
      <c r="AN218" s="384">
        <v>0</v>
      </c>
      <c r="AO218" s="384"/>
      <c r="AP218" s="384"/>
      <c r="AQ218" s="384"/>
      <c r="AR218" s="386"/>
      <c r="AS218" s="384">
        <f t="shared" si="224"/>
        <v>840731.1399999999</v>
      </c>
      <c r="AT218" s="384"/>
      <c r="AU218" s="384"/>
      <c r="AV218" s="384"/>
      <c r="AW218" s="386">
        <v>840731.1399999999</v>
      </c>
      <c r="AX218" s="384">
        <f t="shared" si="225"/>
        <v>0</v>
      </c>
      <c r="AY218" s="384"/>
      <c r="AZ218" s="384"/>
      <c r="BA218" s="384"/>
      <c r="BB218" s="386"/>
      <c r="BC218" s="384">
        <f t="shared" si="231"/>
        <v>0</v>
      </c>
      <c r="BD218" s="384"/>
      <c r="BE218" s="384"/>
      <c r="BF218" s="384"/>
      <c r="BG218" s="384">
        <f t="shared" si="226"/>
        <v>0</v>
      </c>
      <c r="BH218" s="384"/>
      <c r="BI218" s="384"/>
      <c r="BJ218" s="384"/>
      <c r="BK218" s="384"/>
      <c r="BL218" s="384">
        <f t="shared" si="190"/>
        <v>0</v>
      </c>
      <c r="BM218" s="384"/>
      <c r="BN218" s="384"/>
      <c r="BO218" s="384"/>
      <c r="BP218" s="384"/>
      <c r="BQ218" s="384">
        <f t="shared" si="227"/>
        <v>0</v>
      </c>
      <c r="BR218" s="384"/>
      <c r="BS218" s="384"/>
      <c r="BT218" s="384"/>
      <c r="BU218" s="386"/>
      <c r="BV218" s="384">
        <f t="shared" si="228"/>
        <v>0</v>
      </c>
    </row>
    <row r="219" spans="1:74" ht="40.15" customHeight="1" x14ac:dyDescent="0.25">
      <c r="A219" s="382" t="s">
        <v>35</v>
      </c>
      <c r="B219" s="383" t="s">
        <v>270</v>
      </c>
      <c r="C219" s="374">
        <v>226</v>
      </c>
      <c r="D219" s="387" t="s">
        <v>618</v>
      </c>
      <c r="E219" s="384">
        <f>F219+G219+H219+I219</f>
        <v>29973.23</v>
      </c>
      <c r="F219" s="384"/>
      <c r="G219" s="384"/>
      <c r="H219" s="384"/>
      <c r="I219" s="384">
        <v>29973.23</v>
      </c>
      <c r="J219" s="384">
        <f>K219+L219+M219+N219</f>
        <v>0</v>
      </c>
      <c r="K219" s="384"/>
      <c r="L219" s="384"/>
      <c r="M219" s="384"/>
      <c r="N219" s="384"/>
      <c r="O219" s="384">
        <f>P219+Q219+R219+S219</f>
        <v>0</v>
      </c>
      <c r="P219" s="384"/>
      <c r="Q219" s="384"/>
      <c r="R219" s="384"/>
      <c r="S219" s="384"/>
      <c r="T219" s="384">
        <f>U219+V219+W219+X219</f>
        <v>0</v>
      </c>
      <c r="U219" s="384"/>
      <c r="V219" s="384"/>
      <c r="W219" s="384"/>
      <c r="X219" s="384"/>
      <c r="Y219" s="384">
        <f>Z219+AA219+AB219+AC219</f>
        <v>0</v>
      </c>
      <c r="Z219" s="384"/>
      <c r="AA219" s="384"/>
      <c r="AB219" s="384"/>
      <c r="AC219" s="386"/>
      <c r="AD219" s="384">
        <f>SUM(AE219:AH219)</f>
        <v>29973.23</v>
      </c>
      <c r="AE219" s="384"/>
      <c r="AF219" s="384"/>
      <c r="AG219" s="384"/>
      <c r="AH219" s="386">
        <v>29973.23</v>
      </c>
      <c r="AI219" s="384">
        <f>SUM(AJ219:AM219)</f>
        <v>0</v>
      </c>
      <c r="AJ219" s="384"/>
      <c r="AK219" s="384"/>
      <c r="AL219" s="384"/>
      <c r="AM219" s="386"/>
      <c r="AN219" s="384">
        <v>0</v>
      </c>
      <c r="AO219" s="384"/>
      <c r="AP219" s="384"/>
      <c r="AQ219" s="384"/>
      <c r="AR219" s="386"/>
      <c r="AS219" s="384">
        <f>SUM(AT219:AW219)</f>
        <v>0</v>
      </c>
      <c r="AT219" s="384"/>
      <c r="AU219" s="384"/>
      <c r="AV219" s="384"/>
      <c r="AW219" s="386"/>
      <c r="AX219" s="384">
        <f>SUM(AY219:BB219)</f>
        <v>0</v>
      </c>
      <c r="AY219" s="384"/>
      <c r="AZ219" s="384"/>
      <c r="BA219" s="384"/>
      <c r="BB219" s="386"/>
      <c r="BC219" s="384">
        <f t="shared" si="231"/>
        <v>0</v>
      </c>
      <c r="BD219" s="384"/>
      <c r="BE219" s="384"/>
      <c r="BF219" s="384"/>
      <c r="BG219" s="384">
        <f>SUM(BH219:BK219)</f>
        <v>0</v>
      </c>
      <c r="BH219" s="384"/>
      <c r="BI219" s="384"/>
      <c r="BJ219" s="384"/>
      <c r="BK219" s="384"/>
      <c r="BL219" s="384">
        <f>BM219+BN219+BO219+BP219</f>
        <v>0</v>
      </c>
      <c r="BM219" s="384"/>
      <c r="BN219" s="384"/>
      <c r="BO219" s="384"/>
      <c r="BP219" s="384"/>
      <c r="BQ219" s="384">
        <f>SUM(BR219:BU219)</f>
        <v>0</v>
      </c>
      <c r="BR219" s="384"/>
      <c r="BS219" s="384"/>
      <c r="BT219" s="384"/>
      <c r="BU219" s="386"/>
      <c r="BV219" s="384">
        <f t="shared" si="228"/>
        <v>0</v>
      </c>
    </row>
    <row r="220" spans="1:74" ht="36" customHeight="1" x14ac:dyDescent="0.25">
      <c r="A220" s="382" t="s">
        <v>118</v>
      </c>
      <c r="B220" s="388" t="s">
        <v>24</v>
      </c>
      <c r="C220" s="374">
        <v>226</v>
      </c>
      <c r="D220" s="387" t="s">
        <v>619</v>
      </c>
      <c r="E220" s="384">
        <f t="shared" si="229"/>
        <v>99408</v>
      </c>
      <c r="F220" s="384"/>
      <c r="G220" s="384"/>
      <c r="H220" s="384"/>
      <c r="I220" s="384">
        <v>99408</v>
      </c>
      <c r="J220" s="384">
        <f t="shared" si="219"/>
        <v>0</v>
      </c>
      <c r="K220" s="384"/>
      <c r="L220" s="384"/>
      <c r="M220" s="384"/>
      <c r="N220" s="384"/>
      <c r="O220" s="384">
        <f t="shared" si="230"/>
        <v>0</v>
      </c>
      <c r="P220" s="384"/>
      <c r="Q220" s="384"/>
      <c r="R220" s="384"/>
      <c r="S220" s="384"/>
      <c r="T220" s="384">
        <f t="shared" si="220"/>
        <v>99408</v>
      </c>
      <c r="U220" s="384"/>
      <c r="V220" s="384"/>
      <c r="W220" s="384"/>
      <c r="X220" s="384">
        <v>99408</v>
      </c>
      <c r="Y220" s="384">
        <f t="shared" si="221"/>
        <v>0</v>
      </c>
      <c r="Z220" s="384"/>
      <c r="AA220" s="384"/>
      <c r="AB220" s="384"/>
      <c r="AC220" s="386"/>
      <c r="AD220" s="384">
        <f t="shared" ref="AD220:AD224" si="232">SUM(AE220:AH220)</f>
        <v>0</v>
      </c>
      <c r="AE220" s="384"/>
      <c r="AF220" s="384"/>
      <c r="AG220" s="384"/>
      <c r="AH220" s="386"/>
      <c r="AI220" s="384">
        <f t="shared" ref="AI220:AI224" si="233">SUM(AJ220:AM220)</f>
        <v>0</v>
      </c>
      <c r="AJ220" s="384"/>
      <c r="AK220" s="384"/>
      <c r="AL220" s="384"/>
      <c r="AM220" s="386"/>
      <c r="AN220" s="384">
        <v>0</v>
      </c>
      <c r="AO220" s="384"/>
      <c r="AP220" s="384"/>
      <c r="AQ220" s="384"/>
      <c r="AR220" s="386"/>
      <c r="AS220" s="384">
        <f t="shared" ref="AS220:AS224" si="234">SUM(AT220:AW220)</f>
        <v>0</v>
      </c>
      <c r="AT220" s="384"/>
      <c r="AU220" s="384"/>
      <c r="AV220" s="384"/>
      <c r="AW220" s="386"/>
      <c r="AX220" s="384">
        <f t="shared" ref="AX220:AX224" si="235">SUM(AY220:BB220)</f>
        <v>0</v>
      </c>
      <c r="AY220" s="384"/>
      <c r="AZ220" s="384"/>
      <c r="BA220" s="384"/>
      <c r="BB220" s="386"/>
      <c r="BC220" s="384">
        <f t="shared" si="231"/>
        <v>0</v>
      </c>
      <c r="BD220" s="384"/>
      <c r="BE220" s="384"/>
      <c r="BF220" s="384"/>
      <c r="BG220" s="384">
        <f t="shared" si="226"/>
        <v>0</v>
      </c>
      <c r="BH220" s="384"/>
      <c r="BI220" s="384"/>
      <c r="BJ220" s="384"/>
      <c r="BK220" s="384"/>
      <c r="BL220" s="384">
        <f t="shared" si="190"/>
        <v>0</v>
      </c>
      <c r="BM220" s="384"/>
      <c r="BN220" s="384"/>
      <c r="BO220" s="384"/>
      <c r="BP220" s="384"/>
      <c r="BQ220" s="384">
        <f t="shared" si="227"/>
        <v>0</v>
      </c>
      <c r="BR220" s="384"/>
      <c r="BS220" s="384"/>
      <c r="BT220" s="384"/>
      <c r="BU220" s="386"/>
      <c r="BV220" s="384">
        <f t="shared" si="228"/>
        <v>0</v>
      </c>
    </row>
    <row r="221" spans="1:74" ht="36" customHeight="1" x14ac:dyDescent="0.25">
      <c r="A221" s="382" t="s">
        <v>119</v>
      </c>
      <c r="B221" s="388" t="s">
        <v>441</v>
      </c>
      <c r="C221" s="374">
        <v>226</v>
      </c>
      <c r="D221" s="387" t="s">
        <v>620</v>
      </c>
      <c r="E221" s="384">
        <f t="shared" si="229"/>
        <v>99396</v>
      </c>
      <c r="F221" s="384"/>
      <c r="G221" s="384"/>
      <c r="H221" s="384"/>
      <c r="I221" s="384">
        <v>99396</v>
      </c>
      <c r="J221" s="384">
        <f t="shared" si="219"/>
        <v>0</v>
      </c>
      <c r="K221" s="384"/>
      <c r="L221" s="384"/>
      <c r="M221" s="384"/>
      <c r="N221" s="384"/>
      <c r="O221" s="384">
        <f t="shared" si="230"/>
        <v>99396</v>
      </c>
      <c r="P221" s="384"/>
      <c r="Q221" s="384"/>
      <c r="R221" s="384"/>
      <c r="S221" s="384">
        <v>99396</v>
      </c>
      <c r="T221" s="384">
        <f t="shared" si="220"/>
        <v>0</v>
      </c>
      <c r="U221" s="384"/>
      <c r="V221" s="384"/>
      <c r="W221" s="384"/>
      <c r="X221" s="384"/>
      <c r="Y221" s="384">
        <f t="shared" si="221"/>
        <v>0</v>
      </c>
      <c r="Z221" s="384"/>
      <c r="AA221" s="384"/>
      <c r="AB221" s="384"/>
      <c r="AC221" s="386"/>
      <c r="AD221" s="384">
        <f t="shared" si="232"/>
        <v>0</v>
      </c>
      <c r="AE221" s="384"/>
      <c r="AF221" s="384"/>
      <c r="AG221" s="384"/>
      <c r="AH221" s="386"/>
      <c r="AI221" s="384">
        <f t="shared" si="233"/>
        <v>0</v>
      </c>
      <c r="AJ221" s="384"/>
      <c r="AK221" s="384"/>
      <c r="AL221" s="384"/>
      <c r="AM221" s="386"/>
      <c r="AN221" s="384">
        <v>0</v>
      </c>
      <c r="AO221" s="384"/>
      <c r="AP221" s="384"/>
      <c r="AQ221" s="384"/>
      <c r="AR221" s="386"/>
      <c r="AS221" s="384">
        <f t="shared" si="234"/>
        <v>0</v>
      </c>
      <c r="AT221" s="384"/>
      <c r="AU221" s="384"/>
      <c r="AV221" s="384"/>
      <c r="AW221" s="386"/>
      <c r="AX221" s="384">
        <f t="shared" si="235"/>
        <v>0</v>
      </c>
      <c r="AY221" s="384"/>
      <c r="AZ221" s="384"/>
      <c r="BA221" s="384"/>
      <c r="BB221" s="386"/>
      <c r="BC221" s="384">
        <f t="shared" si="231"/>
        <v>0</v>
      </c>
      <c r="BD221" s="384"/>
      <c r="BE221" s="384"/>
      <c r="BF221" s="384"/>
      <c r="BG221" s="384">
        <f t="shared" si="226"/>
        <v>0</v>
      </c>
      <c r="BH221" s="384"/>
      <c r="BI221" s="384"/>
      <c r="BJ221" s="384"/>
      <c r="BK221" s="384"/>
      <c r="BL221" s="384">
        <f t="shared" si="190"/>
        <v>0</v>
      </c>
      <c r="BM221" s="384"/>
      <c r="BN221" s="384"/>
      <c r="BO221" s="384"/>
      <c r="BP221" s="384"/>
      <c r="BQ221" s="384">
        <f t="shared" si="227"/>
        <v>0</v>
      </c>
      <c r="BR221" s="384"/>
      <c r="BS221" s="384"/>
      <c r="BT221" s="384"/>
      <c r="BU221" s="386"/>
      <c r="BV221" s="384">
        <f t="shared" si="228"/>
        <v>0</v>
      </c>
    </row>
    <row r="222" spans="1:74" ht="51.6" customHeight="1" x14ac:dyDescent="0.25">
      <c r="A222" s="382" t="s">
        <v>220</v>
      </c>
      <c r="B222" s="383" t="s">
        <v>23</v>
      </c>
      <c r="C222" s="374">
        <v>226</v>
      </c>
      <c r="D222" s="387" t="s">
        <v>621</v>
      </c>
      <c r="E222" s="384">
        <f t="shared" si="229"/>
        <v>571227.57999999996</v>
      </c>
      <c r="F222" s="384"/>
      <c r="G222" s="384"/>
      <c r="H222" s="384"/>
      <c r="I222" s="384">
        <v>571227.57999999996</v>
      </c>
      <c r="J222" s="384">
        <f t="shared" si="219"/>
        <v>0</v>
      </c>
      <c r="K222" s="384"/>
      <c r="L222" s="384"/>
      <c r="M222" s="384"/>
      <c r="N222" s="384"/>
      <c r="O222" s="384">
        <f t="shared" si="230"/>
        <v>171368.27</v>
      </c>
      <c r="P222" s="384"/>
      <c r="Q222" s="384"/>
      <c r="R222" s="384"/>
      <c r="S222" s="384">
        <v>171368.27</v>
      </c>
      <c r="T222" s="384">
        <f t="shared" si="220"/>
        <v>399859.31</v>
      </c>
      <c r="U222" s="384"/>
      <c r="V222" s="384"/>
      <c r="W222" s="384"/>
      <c r="X222" s="384">
        <v>399859.31</v>
      </c>
      <c r="Y222" s="384">
        <f t="shared" si="221"/>
        <v>0</v>
      </c>
      <c r="Z222" s="384"/>
      <c r="AA222" s="384"/>
      <c r="AB222" s="384"/>
      <c r="AC222" s="386"/>
      <c r="AD222" s="384">
        <f t="shared" si="232"/>
        <v>0</v>
      </c>
      <c r="AE222" s="384"/>
      <c r="AF222" s="384"/>
      <c r="AG222" s="384"/>
      <c r="AH222" s="386"/>
      <c r="AI222" s="384">
        <f t="shared" si="233"/>
        <v>0</v>
      </c>
      <c r="AJ222" s="384"/>
      <c r="AK222" s="384"/>
      <c r="AL222" s="384"/>
      <c r="AM222" s="386"/>
      <c r="AN222" s="384">
        <v>0</v>
      </c>
      <c r="AO222" s="384"/>
      <c r="AP222" s="384"/>
      <c r="AQ222" s="384"/>
      <c r="AR222" s="386"/>
      <c r="AS222" s="384">
        <f t="shared" si="234"/>
        <v>0</v>
      </c>
      <c r="AT222" s="384"/>
      <c r="AU222" s="384"/>
      <c r="AV222" s="384"/>
      <c r="AW222" s="386"/>
      <c r="AX222" s="384">
        <f t="shared" si="235"/>
        <v>0</v>
      </c>
      <c r="AY222" s="384"/>
      <c r="AZ222" s="384"/>
      <c r="BA222" s="384"/>
      <c r="BB222" s="386"/>
      <c r="BC222" s="384">
        <f t="shared" si="231"/>
        <v>-5.8207660913467407E-11</v>
      </c>
      <c r="BD222" s="384"/>
      <c r="BE222" s="384"/>
      <c r="BF222" s="384"/>
      <c r="BG222" s="384">
        <f t="shared" si="226"/>
        <v>0</v>
      </c>
      <c r="BH222" s="384"/>
      <c r="BI222" s="384"/>
      <c r="BJ222" s="384"/>
      <c r="BK222" s="384"/>
      <c r="BL222" s="384">
        <f t="shared" si="190"/>
        <v>0</v>
      </c>
      <c r="BM222" s="384"/>
      <c r="BN222" s="384"/>
      <c r="BO222" s="384"/>
      <c r="BP222" s="384"/>
      <c r="BQ222" s="384">
        <f t="shared" si="227"/>
        <v>0</v>
      </c>
      <c r="BR222" s="384"/>
      <c r="BS222" s="384"/>
      <c r="BT222" s="384"/>
      <c r="BU222" s="386"/>
      <c r="BV222" s="384">
        <f t="shared" si="228"/>
        <v>-5.8207660913467407E-11</v>
      </c>
    </row>
    <row r="223" spans="1:74" ht="50.45" customHeight="1" x14ac:dyDescent="0.25">
      <c r="A223" s="382" t="s">
        <v>247</v>
      </c>
      <c r="B223" s="383" t="s">
        <v>208</v>
      </c>
      <c r="C223" s="374">
        <v>226</v>
      </c>
      <c r="D223" s="387" t="s">
        <v>622</v>
      </c>
      <c r="E223" s="384">
        <f t="shared" si="229"/>
        <v>92781.63</v>
      </c>
      <c r="F223" s="384"/>
      <c r="G223" s="384"/>
      <c r="H223" s="384"/>
      <c r="I223" s="384">
        <v>92781.63</v>
      </c>
      <c r="J223" s="384">
        <f t="shared" si="219"/>
        <v>0</v>
      </c>
      <c r="K223" s="384"/>
      <c r="L223" s="384"/>
      <c r="M223" s="384"/>
      <c r="N223" s="384"/>
      <c r="O223" s="384">
        <f t="shared" si="230"/>
        <v>0</v>
      </c>
      <c r="P223" s="384"/>
      <c r="Q223" s="384"/>
      <c r="R223" s="384"/>
      <c r="S223" s="384"/>
      <c r="T223" s="384">
        <f t="shared" si="220"/>
        <v>92781.63</v>
      </c>
      <c r="U223" s="384"/>
      <c r="V223" s="384"/>
      <c r="W223" s="384"/>
      <c r="X223" s="384">
        <v>92781.63</v>
      </c>
      <c r="Y223" s="384">
        <f t="shared" si="221"/>
        <v>0</v>
      </c>
      <c r="Z223" s="384"/>
      <c r="AA223" s="384"/>
      <c r="AB223" s="384"/>
      <c r="AC223" s="386"/>
      <c r="AD223" s="384">
        <f t="shared" si="232"/>
        <v>0</v>
      </c>
      <c r="AE223" s="384"/>
      <c r="AF223" s="384"/>
      <c r="AG223" s="384"/>
      <c r="AH223" s="386"/>
      <c r="AI223" s="384">
        <f t="shared" si="233"/>
        <v>0</v>
      </c>
      <c r="AJ223" s="384"/>
      <c r="AK223" s="384"/>
      <c r="AL223" s="384"/>
      <c r="AM223" s="386"/>
      <c r="AN223" s="384">
        <v>0</v>
      </c>
      <c r="AO223" s="384"/>
      <c r="AP223" s="384"/>
      <c r="AQ223" s="384"/>
      <c r="AR223" s="386"/>
      <c r="AS223" s="384">
        <f t="shared" si="234"/>
        <v>0</v>
      </c>
      <c r="AT223" s="384"/>
      <c r="AU223" s="384"/>
      <c r="AV223" s="384"/>
      <c r="AW223" s="386"/>
      <c r="AX223" s="384">
        <f t="shared" si="235"/>
        <v>0</v>
      </c>
      <c r="AY223" s="384"/>
      <c r="AZ223" s="384"/>
      <c r="BA223" s="384"/>
      <c r="BB223" s="386"/>
      <c r="BC223" s="384">
        <f t="shared" si="231"/>
        <v>0</v>
      </c>
      <c r="BD223" s="384"/>
      <c r="BE223" s="384"/>
      <c r="BF223" s="384"/>
      <c r="BG223" s="384">
        <f t="shared" si="226"/>
        <v>0</v>
      </c>
      <c r="BH223" s="384"/>
      <c r="BI223" s="384"/>
      <c r="BJ223" s="384"/>
      <c r="BK223" s="384"/>
      <c r="BL223" s="384">
        <f t="shared" si="190"/>
        <v>0</v>
      </c>
      <c r="BM223" s="384"/>
      <c r="BN223" s="384"/>
      <c r="BO223" s="384"/>
      <c r="BP223" s="384"/>
      <c r="BQ223" s="384">
        <f t="shared" si="227"/>
        <v>0</v>
      </c>
      <c r="BR223" s="384"/>
      <c r="BS223" s="384"/>
      <c r="BT223" s="384"/>
      <c r="BU223" s="386"/>
      <c r="BV223" s="384">
        <f t="shared" si="228"/>
        <v>0</v>
      </c>
    </row>
    <row r="224" spans="1:74" ht="34.9" customHeight="1" x14ac:dyDescent="0.25">
      <c r="A224" s="382" t="s">
        <v>420</v>
      </c>
      <c r="B224" s="388" t="s">
        <v>248</v>
      </c>
      <c r="C224" s="377">
        <v>226</v>
      </c>
      <c r="D224" s="390" t="s">
        <v>509</v>
      </c>
      <c r="E224" s="384">
        <f t="shared" si="229"/>
        <v>1239</v>
      </c>
      <c r="F224" s="384"/>
      <c r="G224" s="384"/>
      <c r="H224" s="384"/>
      <c r="I224" s="384">
        <v>1239</v>
      </c>
      <c r="J224" s="384">
        <f t="shared" si="219"/>
        <v>0</v>
      </c>
      <c r="K224" s="384"/>
      <c r="L224" s="384"/>
      <c r="M224" s="384"/>
      <c r="N224" s="384"/>
      <c r="O224" s="384">
        <f t="shared" si="230"/>
        <v>0</v>
      </c>
      <c r="P224" s="384"/>
      <c r="Q224" s="384"/>
      <c r="R224" s="384"/>
      <c r="S224" s="384"/>
      <c r="T224" s="384">
        <f t="shared" si="220"/>
        <v>1239</v>
      </c>
      <c r="U224" s="384"/>
      <c r="V224" s="384"/>
      <c r="W224" s="384"/>
      <c r="X224" s="384">
        <v>1239</v>
      </c>
      <c r="Y224" s="384">
        <f t="shared" si="221"/>
        <v>0</v>
      </c>
      <c r="Z224" s="384"/>
      <c r="AA224" s="384"/>
      <c r="AB224" s="384"/>
      <c r="AC224" s="386"/>
      <c r="AD224" s="384">
        <f t="shared" si="232"/>
        <v>0</v>
      </c>
      <c r="AE224" s="384"/>
      <c r="AF224" s="384"/>
      <c r="AG224" s="384"/>
      <c r="AH224" s="386"/>
      <c r="AI224" s="384">
        <f t="shared" si="233"/>
        <v>0</v>
      </c>
      <c r="AJ224" s="384"/>
      <c r="AK224" s="384"/>
      <c r="AL224" s="384"/>
      <c r="AM224" s="386"/>
      <c r="AN224" s="384">
        <v>0</v>
      </c>
      <c r="AO224" s="384"/>
      <c r="AP224" s="384"/>
      <c r="AQ224" s="384"/>
      <c r="AR224" s="386"/>
      <c r="AS224" s="384">
        <f t="shared" si="234"/>
        <v>0</v>
      </c>
      <c r="AT224" s="384"/>
      <c r="AU224" s="384"/>
      <c r="AV224" s="384"/>
      <c r="AW224" s="386"/>
      <c r="AX224" s="384">
        <f t="shared" si="235"/>
        <v>0</v>
      </c>
      <c r="AY224" s="384"/>
      <c r="AZ224" s="384"/>
      <c r="BA224" s="384"/>
      <c r="BB224" s="386"/>
      <c r="BC224" s="384">
        <f t="shared" si="231"/>
        <v>0</v>
      </c>
      <c r="BD224" s="384"/>
      <c r="BE224" s="384"/>
      <c r="BF224" s="384"/>
      <c r="BG224" s="384">
        <f t="shared" si="226"/>
        <v>0</v>
      </c>
      <c r="BH224" s="384"/>
      <c r="BI224" s="384"/>
      <c r="BJ224" s="384"/>
      <c r="BK224" s="384"/>
      <c r="BL224" s="384">
        <f t="shared" si="190"/>
        <v>0</v>
      </c>
      <c r="BM224" s="384"/>
      <c r="BN224" s="384"/>
      <c r="BO224" s="384"/>
      <c r="BP224" s="384"/>
      <c r="BQ224" s="384">
        <f t="shared" si="227"/>
        <v>0</v>
      </c>
      <c r="BR224" s="384"/>
      <c r="BS224" s="384"/>
      <c r="BT224" s="384"/>
      <c r="BU224" s="386"/>
      <c r="BV224" s="384">
        <f t="shared" si="228"/>
        <v>0</v>
      </c>
    </row>
    <row r="225" spans="1:74" ht="78.599999999999994" customHeight="1" x14ac:dyDescent="0.25">
      <c r="A225" s="382" t="s">
        <v>427</v>
      </c>
      <c r="B225" s="388" t="s">
        <v>464</v>
      </c>
      <c r="C225" s="377">
        <v>223</v>
      </c>
      <c r="D225" s="390" t="s">
        <v>670</v>
      </c>
      <c r="E225" s="384">
        <f>F225+G225+H225+I225</f>
        <v>0</v>
      </c>
      <c r="F225" s="384"/>
      <c r="G225" s="384"/>
      <c r="H225" s="384"/>
      <c r="I225" s="384">
        <v>0</v>
      </c>
      <c r="J225" s="384">
        <f t="shared" si="219"/>
        <v>0</v>
      </c>
      <c r="K225" s="384"/>
      <c r="L225" s="384"/>
      <c r="M225" s="384"/>
      <c r="N225" s="384"/>
      <c r="O225" s="384">
        <f t="shared" si="230"/>
        <v>0</v>
      </c>
      <c r="P225" s="384"/>
      <c r="Q225" s="384"/>
      <c r="R225" s="384"/>
      <c r="S225" s="384"/>
      <c r="T225" s="384">
        <f t="shared" si="220"/>
        <v>0</v>
      </c>
      <c r="U225" s="384"/>
      <c r="V225" s="384"/>
      <c r="W225" s="384"/>
      <c r="X225" s="384"/>
      <c r="Y225" s="384">
        <f t="shared" si="221"/>
        <v>0</v>
      </c>
      <c r="Z225" s="384"/>
      <c r="AA225" s="384"/>
      <c r="AB225" s="384"/>
      <c r="AC225" s="386"/>
      <c r="AD225" s="384">
        <f>SUM(AE225:AH225)</f>
        <v>0</v>
      </c>
      <c r="AE225" s="384"/>
      <c r="AF225" s="384"/>
      <c r="AG225" s="384"/>
      <c r="AH225" s="386">
        <v>0</v>
      </c>
      <c r="AI225" s="384">
        <f>SUM(AJ225:AM225)</f>
        <v>0</v>
      </c>
      <c r="AJ225" s="384"/>
      <c r="AK225" s="384"/>
      <c r="AL225" s="384"/>
      <c r="AM225" s="386"/>
      <c r="AN225" s="384">
        <v>0</v>
      </c>
      <c r="AO225" s="384"/>
      <c r="AP225" s="384"/>
      <c r="AQ225" s="384"/>
      <c r="AR225" s="386"/>
      <c r="AS225" s="384">
        <f>SUM(AT225:AW225)</f>
        <v>0</v>
      </c>
      <c r="AT225" s="384"/>
      <c r="AU225" s="384"/>
      <c r="AV225" s="384"/>
      <c r="AW225" s="386"/>
      <c r="AX225" s="384">
        <f>SUM(AY225:BB225)</f>
        <v>0</v>
      </c>
      <c r="AY225" s="384"/>
      <c r="AZ225" s="384"/>
      <c r="BA225" s="384"/>
      <c r="BB225" s="386"/>
      <c r="BC225" s="384">
        <f t="shared" si="231"/>
        <v>0</v>
      </c>
      <c r="BD225" s="384"/>
      <c r="BE225" s="384"/>
      <c r="BF225" s="384"/>
      <c r="BG225" s="384">
        <f>SUM(BH225:BK225)</f>
        <v>0</v>
      </c>
      <c r="BH225" s="384"/>
      <c r="BI225" s="384"/>
      <c r="BJ225" s="384"/>
      <c r="BK225" s="384"/>
      <c r="BL225" s="384">
        <f>BM225+BN225+BO225+BP225</f>
        <v>0</v>
      </c>
      <c r="BM225" s="384"/>
      <c r="BN225" s="384"/>
      <c r="BO225" s="384"/>
      <c r="BP225" s="384"/>
      <c r="BQ225" s="384">
        <f>SUM(BR225:BU225)</f>
        <v>0</v>
      </c>
      <c r="BR225" s="384"/>
      <c r="BS225" s="384"/>
      <c r="BT225" s="384"/>
      <c r="BU225" s="386"/>
      <c r="BV225" s="384">
        <f t="shared" si="228"/>
        <v>0</v>
      </c>
    </row>
    <row r="226" spans="1:74" ht="56.45" customHeight="1" x14ac:dyDescent="0.25">
      <c r="A226" s="382" t="s">
        <v>430</v>
      </c>
      <c r="B226" s="388" t="s">
        <v>476</v>
      </c>
      <c r="C226" s="377">
        <v>226</v>
      </c>
      <c r="D226" s="390" t="s">
        <v>694</v>
      </c>
      <c r="E226" s="384">
        <f>I226</f>
        <v>55800</v>
      </c>
      <c r="F226" s="384"/>
      <c r="G226" s="384"/>
      <c r="H226" s="384"/>
      <c r="I226" s="384">
        <v>55800</v>
      </c>
      <c r="J226" s="384">
        <f t="shared" si="219"/>
        <v>0</v>
      </c>
      <c r="K226" s="384"/>
      <c r="L226" s="384"/>
      <c r="M226" s="384"/>
      <c r="N226" s="384"/>
      <c r="O226" s="384">
        <f t="shared" si="230"/>
        <v>0</v>
      </c>
      <c r="P226" s="384"/>
      <c r="Q226" s="384"/>
      <c r="R226" s="384"/>
      <c r="S226" s="384"/>
      <c r="T226" s="384">
        <f t="shared" si="220"/>
        <v>0</v>
      </c>
      <c r="U226" s="384"/>
      <c r="V226" s="384"/>
      <c r="W226" s="384"/>
      <c r="X226" s="384"/>
      <c r="Y226" s="384">
        <f t="shared" si="221"/>
        <v>0</v>
      </c>
      <c r="Z226" s="384"/>
      <c r="AA226" s="384"/>
      <c r="AB226" s="384"/>
      <c r="AC226" s="386"/>
      <c r="AD226" s="384">
        <f>SUM(AE226:AH226)</f>
        <v>0</v>
      </c>
      <c r="AE226" s="384"/>
      <c r="AF226" s="384"/>
      <c r="AG226" s="384"/>
      <c r="AH226" s="386">
        <v>0</v>
      </c>
      <c r="AI226" s="384">
        <f>SUM(AJ226:AM226)</f>
        <v>0</v>
      </c>
      <c r="AJ226" s="384"/>
      <c r="AK226" s="384"/>
      <c r="AL226" s="384"/>
      <c r="AM226" s="386"/>
      <c r="AN226" s="384">
        <v>55800</v>
      </c>
      <c r="AO226" s="384"/>
      <c r="AP226" s="384"/>
      <c r="AQ226" s="384"/>
      <c r="AR226" s="386">
        <v>55800</v>
      </c>
      <c r="AS226" s="384">
        <f>SUM(AT226:AW226)</f>
        <v>0</v>
      </c>
      <c r="AT226" s="384"/>
      <c r="AU226" s="384"/>
      <c r="AV226" s="384"/>
      <c r="AW226" s="386"/>
      <c r="AX226" s="384">
        <f>SUM(AY226:BB226)</f>
        <v>0</v>
      </c>
      <c r="AY226" s="384"/>
      <c r="AZ226" s="384"/>
      <c r="BA226" s="384"/>
      <c r="BB226" s="386"/>
      <c r="BC226" s="384">
        <f t="shared" si="231"/>
        <v>0</v>
      </c>
      <c r="BD226" s="384"/>
      <c r="BE226" s="384"/>
      <c r="BF226" s="384"/>
      <c r="BG226" s="384">
        <f>SUM(BH226:BK226)</f>
        <v>0</v>
      </c>
      <c r="BH226" s="384"/>
      <c r="BI226" s="384"/>
      <c r="BJ226" s="384"/>
      <c r="BK226" s="384"/>
      <c r="BL226" s="384">
        <f>BM226+BN226+BO226+BP226</f>
        <v>0</v>
      </c>
      <c r="BM226" s="384"/>
      <c r="BN226" s="384"/>
      <c r="BO226" s="384"/>
      <c r="BP226" s="384"/>
      <c r="BQ226" s="384">
        <f>SUM(BR226:BU226)</f>
        <v>0</v>
      </c>
      <c r="BR226" s="384"/>
      <c r="BS226" s="384"/>
      <c r="BT226" s="384"/>
      <c r="BU226" s="386"/>
      <c r="BV226" s="384">
        <f t="shared" si="228"/>
        <v>0</v>
      </c>
    </row>
    <row r="227" spans="1:74" ht="31.15" customHeight="1" x14ac:dyDescent="0.25">
      <c r="A227" s="382" t="s">
        <v>31</v>
      </c>
      <c r="B227" s="412" t="s">
        <v>763</v>
      </c>
      <c r="C227" s="377"/>
      <c r="D227" s="414"/>
      <c r="E227" s="384">
        <f>SUM(E229:E254)</f>
        <v>80836670.88000001</v>
      </c>
      <c r="F227" s="384">
        <f t="shared" ref="F227:BC227" si="236">SUM(F229:F254)</f>
        <v>30765152.699999999</v>
      </c>
      <c r="G227" s="384">
        <f t="shared" si="236"/>
        <v>14333311.33</v>
      </c>
      <c r="H227" s="384">
        <f t="shared" si="236"/>
        <v>6391697.96</v>
      </c>
      <c r="I227" s="384">
        <f t="shared" si="236"/>
        <v>29346508.890000004</v>
      </c>
      <c r="J227" s="384">
        <f t="shared" si="236"/>
        <v>0</v>
      </c>
      <c r="K227" s="384">
        <f t="shared" si="236"/>
        <v>0</v>
      </c>
      <c r="L227" s="384">
        <f t="shared" si="236"/>
        <v>0</v>
      </c>
      <c r="M227" s="384">
        <f t="shared" si="236"/>
        <v>0</v>
      </c>
      <c r="N227" s="384">
        <f t="shared" si="236"/>
        <v>0</v>
      </c>
      <c r="O227" s="384">
        <f t="shared" si="236"/>
        <v>1983642.79</v>
      </c>
      <c r="P227" s="384">
        <f t="shared" si="236"/>
        <v>0</v>
      </c>
      <c r="Q227" s="384">
        <f t="shared" si="236"/>
        <v>0</v>
      </c>
      <c r="R227" s="384">
        <f t="shared" si="236"/>
        <v>0</v>
      </c>
      <c r="S227" s="384">
        <f t="shared" si="236"/>
        <v>1983642.79</v>
      </c>
      <c r="T227" s="384">
        <f t="shared" si="236"/>
        <v>52855310.019999981</v>
      </c>
      <c r="U227" s="384">
        <f t="shared" si="236"/>
        <v>29956666.32</v>
      </c>
      <c r="V227" s="384">
        <f t="shared" si="236"/>
        <v>13956642.07</v>
      </c>
      <c r="W227" s="384">
        <f t="shared" si="236"/>
        <v>6223728.6799999997</v>
      </c>
      <c r="X227" s="384">
        <f t="shared" si="236"/>
        <v>2718272.9499999997</v>
      </c>
      <c r="Y227" s="384">
        <f t="shared" si="236"/>
        <v>21919725.93</v>
      </c>
      <c r="Z227" s="384">
        <f t="shared" si="236"/>
        <v>808486.38</v>
      </c>
      <c r="AA227" s="384">
        <f t="shared" si="236"/>
        <v>376669.26</v>
      </c>
      <c r="AB227" s="384">
        <f t="shared" si="236"/>
        <v>167969.28</v>
      </c>
      <c r="AC227" s="384">
        <f t="shared" si="236"/>
        <v>20566601.009999998</v>
      </c>
      <c r="AD227" s="384">
        <f t="shared" si="236"/>
        <v>1209177.26</v>
      </c>
      <c r="AE227" s="384">
        <f t="shared" si="236"/>
        <v>0</v>
      </c>
      <c r="AF227" s="384">
        <f t="shared" si="236"/>
        <v>0</v>
      </c>
      <c r="AG227" s="384">
        <f t="shared" si="236"/>
        <v>0</v>
      </c>
      <c r="AH227" s="384">
        <f t="shared" si="236"/>
        <v>1209177.26</v>
      </c>
      <c r="AI227" s="384">
        <f t="shared" si="236"/>
        <v>1704506.57</v>
      </c>
      <c r="AJ227" s="384">
        <f t="shared" si="236"/>
        <v>0</v>
      </c>
      <c r="AK227" s="384">
        <f t="shared" si="236"/>
        <v>0</v>
      </c>
      <c r="AL227" s="384">
        <f t="shared" si="236"/>
        <v>0</v>
      </c>
      <c r="AM227" s="384">
        <f t="shared" si="236"/>
        <v>1704506.57</v>
      </c>
      <c r="AN227" s="384">
        <f t="shared" si="236"/>
        <v>1408.45</v>
      </c>
      <c r="AO227" s="384">
        <f t="shared" si="236"/>
        <v>0</v>
      </c>
      <c r="AP227" s="384">
        <f t="shared" si="236"/>
        <v>0</v>
      </c>
      <c r="AQ227" s="384">
        <f t="shared" si="236"/>
        <v>0</v>
      </c>
      <c r="AR227" s="384">
        <f t="shared" si="236"/>
        <v>1408.45</v>
      </c>
      <c r="AS227" s="384">
        <f t="shared" si="236"/>
        <v>1144819.43</v>
      </c>
      <c r="AT227" s="384">
        <f t="shared" si="236"/>
        <v>0</v>
      </c>
      <c r="AU227" s="384">
        <f t="shared" si="236"/>
        <v>0</v>
      </c>
      <c r="AV227" s="384">
        <f t="shared" si="236"/>
        <v>0</v>
      </c>
      <c r="AW227" s="384">
        <f t="shared" si="236"/>
        <v>1144819.43</v>
      </c>
      <c r="AX227" s="384">
        <f t="shared" si="236"/>
        <v>0</v>
      </c>
      <c r="AY227" s="384">
        <f t="shared" si="236"/>
        <v>0</v>
      </c>
      <c r="AZ227" s="384">
        <f t="shared" si="236"/>
        <v>0</v>
      </c>
      <c r="BA227" s="384">
        <f t="shared" si="236"/>
        <v>0</v>
      </c>
      <c r="BB227" s="384">
        <f t="shared" si="236"/>
        <v>0</v>
      </c>
      <c r="BC227" s="384">
        <f t="shared" si="236"/>
        <v>18080.429999999571</v>
      </c>
      <c r="BD227" s="384">
        <f>BD228</f>
        <v>1401.4</v>
      </c>
      <c r="BE227" s="384">
        <f t="shared" ref="BE227:BF227" si="237">BE228</f>
        <v>1448.9</v>
      </c>
      <c r="BF227" s="384">
        <f t="shared" si="237"/>
        <v>1611.9</v>
      </c>
      <c r="BG227" s="384">
        <f t="shared" ref="BG227:BV227" si="238">SUM(BG229:BG254)</f>
        <v>0</v>
      </c>
      <c r="BH227" s="384">
        <f t="shared" si="238"/>
        <v>0</v>
      </c>
      <c r="BI227" s="384">
        <f t="shared" si="238"/>
        <v>0</v>
      </c>
      <c r="BJ227" s="384">
        <f t="shared" si="238"/>
        <v>0</v>
      </c>
      <c r="BK227" s="384">
        <f t="shared" si="238"/>
        <v>0</v>
      </c>
      <c r="BL227" s="384">
        <f t="shared" si="238"/>
        <v>18080.430000000008</v>
      </c>
      <c r="BM227" s="384">
        <f t="shared" si="238"/>
        <v>0</v>
      </c>
      <c r="BN227" s="384">
        <f t="shared" si="238"/>
        <v>0</v>
      </c>
      <c r="BO227" s="384">
        <f t="shared" si="238"/>
        <v>0</v>
      </c>
      <c r="BP227" s="384">
        <f t="shared" si="238"/>
        <v>18080.430000000008</v>
      </c>
      <c r="BQ227" s="384">
        <f t="shared" si="238"/>
        <v>0</v>
      </c>
      <c r="BR227" s="384">
        <f t="shared" si="238"/>
        <v>0</v>
      </c>
      <c r="BS227" s="384">
        <f t="shared" si="238"/>
        <v>0</v>
      </c>
      <c r="BT227" s="384">
        <f t="shared" si="238"/>
        <v>0</v>
      </c>
      <c r="BU227" s="384">
        <f t="shared" si="238"/>
        <v>0</v>
      </c>
      <c r="BV227" s="384">
        <f t="shared" si="238"/>
        <v>18080.429999999571</v>
      </c>
    </row>
    <row r="228" spans="1:74" ht="146.44999999999999" customHeight="1" x14ac:dyDescent="0.25">
      <c r="A228" s="393" t="s">
        <v>52</v>
      </c>
      <c r="B228" s="383" t="s">
        <v>184</v>
      </c>
      <c r="C228" s="375">
        <v>310</v>
      </c>
      <c r="D228" s="394" t="s">
        <v>623</v>
      </c>
      <c r="E228" s="384">
        <f>SUM(E229:E230)</f>
        <v>73233498.429999992</v>
      </c>
      <c r="F228" s="384">
        <f>SUM(F229:F230)</f>
        <v>30765152.699999999</v>
      </c>
      <c r="G228" s="384">
        <f>SUM(G229:G230)</f>
        <v>14333311.33</v>
      </c>
      <c r="H228" s="384">
        <f>SUM(H229:H230)</f>
        <v>6391697.96</v>
      </c>
      <c r="I228" s="384">
        <f>SUM(I229:I230)</f>
        <v>21743336.440000001</v>
      </c>
      <c r="J228" s="384">
        <f t="shared" ref="J228:J248" si="239">K228+L228+M228+N228</f>
        <v>0</v>
      </c>
      <c r="K228" s="384"/>
      <c r="L228" s="384"/>
      <c r="M228" s="384"/>
      <c r="N228" s="384"/>
      <c r="O228" s="384">
        <f t="shared" si="230"/>
        <v>0</v>
      </c>
      <c r="P228" s="384"/>
      <c r="Q228" s="384"/>
      <c r="R228" s="384"/>
      <c r="S228" s="384"/>
      <c r="T228" s="384">
        <f t="shared" ref="T228:T248" si="240">U228+V228+W228+X228</f>
        <v>50137037.07</v>
      </c>
      <c r="U228" s="384">
        <f>SUM(U229:U230)</f>
        <v>29956666.32</v>
      </c>
      <c r="V228" s="384">
        <f>SUM(V229:V230)</f>
        <v>13956642.07</v>
      </c>
      <c r="W228" s="384">
        <f>SUM(W229:W230)</f>
        <v>6223728.6799999997</v>
      </c>
      <c r="X228" s="384">
        <f>SUM(X229:X230)</f>
        <v>0</v>
      </c>
      <c r="Y228" s="384">
        <f t="shared" ref="Y228:Y248" si="241">Z228+AA228+AB228+AC228</f>
        <v>20719611.859999999</v>
      </c>
      <c r="Z228" s="384">
        <f t="shared" ref="Z228:AI228" si="242">SUM(Z229:Z230)</f>
        <v>808486.38</v>
      </c>
      <c r="AA228" s="384">
        <f t="shared" si="242"/>
        <v>376669.26</v>
      </c>
      <c r="AB228" s="384">
        <f t="shared" si="242"/>
        <v>167969.28</v>
      </c>
      <c r="AC228" s="386">
        <f t="shared" si="242"/>
        <v>19366486.939999998</v>
      </c>
      <c r="AD228" s="384">
        <f t="shared" si="242"/>
        <v>837932.93</v>
      </c>
      <c r="AE228" s="384">
        <f t="shared" si="242"/>
        <v>0</v>
      </c>
      <c r="AF228" s="384">
        <f t="shared" si="242"/>
        <v>0</v>
      </c>
      <c r="AG228" s="384">
        <f t="shared" si="242"/>
        <v>0</v>
      </c>
      <c r="AH228" s="386">
        <f t="shared" si="242"/>
        <v>837932.93</v>
      </c>
      <c r="AI228" s="384">
        <f t="shared" si="242"/>
        <v>1538916.57</v>
      </c>
      <c r="AJ228" s="384">
        <v>0</v>
      </c>
      <c r="AK228" s="384">
        <v>0</v>
      </c>
      <c r="AL228" s="384">
        <v>0</v>
      </c>
      <c r="AM228" s="386">
        <v>1538916.57</v>
      </c>
      <c r="AN228" s="384">
        <v>0</v>
      </c>
      <c r="AO228" s="384"/>
      <c r="AP228" s="384"/>
      <c r="AQ228" s="384"/>
      <c r="AR228" s="386"/>
      <c r="AS228" s="384">
        <f>SUM(AS229:AS230)</f>
        <v>0</v>
      </c>
      <c r="AT228" s="384"/>
      <c r="AU228" s="384"/>
      <c r="AV228" s="384"/>
      <c r="AW228" s="386"/>
      <c r="AX228" s="384">
        <f>SUM(AX229:AX230)</f>
        <v>0</v>
      </c>
      <c r="AY228" s="384"/>
      <c r="AZ228" s="384"/>
      <c r="BA228" s="384"/>
      <c r="BB228" s="386"/>
      <c r="BC228" s="384">
        <f>SUM(BC229:BC230)</f>
        <v>-4.3655745685100555E-10</v>
      </c>
      <c r="BD228" s="384">
        <f>BD229+BD230</f>
        <v>1401.4</v>
      </c>
      <c r="BE228" s="384">
        <f>BE229+BE230</f>
        <v>1448.9</v>
      </c>
      <c r="BF228" s="384">
        <f>BF229+BF230</f>
        <v>1611.9</v>
      </c>
      <c r="BG228" s="384">
        <f>SUM(BG229:BG230)</f>
        <v>0</v>
      </c>
      <c r="BH228" s="384"/>
      <c r="BI228" s="384"/>
      <c r="BJ228" s="384"/>
      <c r="BK228" s="384"/>
      <c r="BL228" s="384">
        <f t="shared" si="190"/>
        <v>3.4924596548080444E-9</v>
      </c>
      <c r="BM228" s="384">
        <f>BM229+BM230</f>
        <v>0</v>
      </c>
      <c r="BN228" s="384">
        <f>BN229+BN230</f>
        <v>0</v>
      </c>
      <c r="BO228" s="384">
        <f>BO229+BO230</f>
        <v>0</v>
      </c>
      <c r="BP228" s="384">
        <f>I228-N228-S228-X228-AC228-AH228-BK228-AM228-AR228-AW228</f>
        <v>3.4924596548080444E-9</v>
      </c>
      <c r="BQ228" s="384">
        <f>SUM(BQ229:BQ230)</f>
        <v>0</v>
      </c>
      <c r="BR228" s="384"/>
      <c r="BS228" s="384"/>
      <c r="BT228" s="384"/>
      <c r="BU228" s="386"/>
      <c r="BV228" s="384">
        <f t="shared" ref="BV228:BV254" si="243">BC228-BQ228</f>
        <v>-4.3655745685100555E-10</v>
      </c>
    </row>
    <row r="229" spans="1:74" ht="30" customHeight="1" x14ac:dyDescent="0.25">
      <c r="A229" s="396"/>
      <c r="B229" s="415" t="s">
        <v>182</v>
      </c>
      <c r="C229" s="416"/>
      <c r="D229" s="398"/>
      <c r="E229" s="399">
        <f>F229+G229+H229+I229</f>
        <v>69922011.429999992</v>
      </c>
      <c r="F229" s="399">
        <v>28642599.789999999</v>
      </c>
      <c r="G229" s="399">
        <v>13403385.199999999</v>
      </c>
      <c r="H229" s="399">
        <v>6132690</v>
      </c>
      <c r="I229" s="399">
        <v>21743336.440000001</v>
      </c>
      <c r="J229" s="384">
        <f t="shared" si="239"/>
        <v>0</v>
      </c>
      <c r="K229" s="399"/>
      <c r="L229" s="399"/>
      <c r="M229" s="399"/>
      <c r="N229" s="399"/>
      <c r="O229" s="384">
        <f t="shared" si="230"/>
        <v>0</v>
      </c>
      <c r="P229" s="399"/>
      <c r="Q229" s="399"/>
      <c r="R229" s="399"/>
      <c r="S229" s="399"/>
      <c r="T229" s="384">
        <f t="shared" si="240"/>
        <v>46912573.599999994</v>
      </c>
      <c r="U229" s="399">
        <v>27889892.59</v>
      </c>
      <c r="V229" s="399">
        <v>13051153.74</v>
      </c>
      <c r="W229" s="399">
        <v>5971527.2699999996</v>
      </c>
      <c r="X229" s="399"/>
      <c r="Y229" s="384">
        <f t="shared" si="241"/>
        <v>20632588.329999998</v>
      </c>
      <c r="Z229" s="399">
        <v>752707.2</v>
      </c>
      <c r="AA229" s="399">
        <v>352231.46</v>
      </c>
      <c r="AB229" s="399">
        <v>161162.73000000001</v>
      </c>
      <c r="AC229" s="417">
        <v>19366486.939999998</v>
      </c>
      <c r="AD229" s="384">
        <f t="shared" ref="AD229:AD237" si="244">SUM(AE229:AH229)</f>
        <v>837932.93</v>
      </c>
      <c r="AE229" s="399"/>
      <c r="AF229" s="399"/>
      <c r="AG229" s="399"/>
      <c r="AH229" s="417">
        <v>837932.93</v>
      </c>
      <c r="AI229" s="384">
        <f t="shared" ref="AI229:AI237" si="245">SUM(AJ229:AM229)</f>
        <v>1538916.57</v>
      </c>
      <c r="AJ229" s="399"/>
      <c r="AK229" s="399"/>
      <c r="AL229" s="399"/>
      <c r="AM229" s="417">
        <v>1538916.57</v>
      </c>
      <c r="AN229" s="384">
        <v>0</v>
      </c>
      <c r="AO229" s="399"/>
      <c r="AP229" s="399"/>
      <c r="AQ229" s="399"/>
      <c r="AR229" s="417"/>
      <c r="AS229" s="384">
        <f t="shared" ref="AS229:AS237" si="246">SUM(AT229:AW229)</f>
        <v>0</v>
      </c>
      <c r="AT229" s="399"/>
      <c r="AU229" s="399"/>
      <c r="AV229" s="399"/>
      <c r="AW229" s="417"/>
      <c r="AX229" s="384">
        <f t="shared" ref="AX229:AX237" si="247">SUM(AY229:BB229)</f>
        <v>0</v>
      </c>
      <c r="AY229" s="399"/>
      <c r="AZ229" s="399"/>
      <c r="BA229" s="399"/>
      <c r="BB229" s="417"/>
      <c r="BC229" s="384">
        <f>E229-J229-O229-T229-Y229-AD229-AI229-AN229-AS229-AX229</f>
        <v>-2.3283064365386963E-10</v>
      </c>
      <c r="BD229" s="399">
        <v>1310.5</v>
      </c>
      <c r="BE229" s="399">
        <v>1353.7</v>
      </c>
      <c r="BF229" s="399">
        <v>1505.99</v>
      </c>
      <c r="BG229" s="384">
        <f t="shared" ref="BG229:BG244" si="248">SUM(BH229:BK229)</f>
        <v>0</v>
      </c>
      <c r="BH229" s="384"/>
      <c r="BI229" s="399"/>
      <c r="BJ229" s="399"/>
      <c r="BK229" s="399"/>
      <c r="BL229" s="384">
        <f t="shared" si="190"/>
        <v>0</v>
      </c>
      <c r="BM229" s="384"/>
      <c r="BN229" s="384"/>
      <c r="BO229" s="384"/>
      <c r="BP229" s="384"/>
      <c r="BQ229" s="384">
        <f t="shared" ref="BQ229:BQ244" si="249">SUM(BR229:BU229)</f>
        <v>0</v>
      </c>
      <c r="BR229" s="399"/>
      <c r="BS229" s="399"/>
      <c r="BT229" s="399"/>
      <c r="BU229" s="417"/>
      <c r="BV229" s="384">
        <f t="shared" si="243"/>
        <v>-2.3283064365386963E-10</v>
      </c>
    </row>
    <row r="230" spans="1:74" ht="30" customHeight="1" x14ac:dyDescent="0.25">
      <c r="A230" s="404"/>
      <c r="B230" s="415" t="s">
        <v>440</v>
      </c>
      <c r="C230" s="418"/>
      <c r="D230" s="400"/>
      <c r="E230" s="399">
        <f>F230+G230+H230+I230</f>
        <v>3311487</v>
      </c>
      <c r="F230" s="399">
        <v>2122552.91</v>
      </c>
      <c r="G230" s="399">
        <v>929926.13</v>
      </c>
      <c r="H230" s="399">
        <v>259007.96</v>
      </c>
      <c r="I230" s="399">
        <v>0</v>
      </c>
      <c r="J230" s="384">
        <f t="shared" si="239"/>
        <v>0</v>
      </c>
      <c r="K230" s="399"/>
      <c r="L230" s="399"/>
      <c r="M230" s="399"/>
      <c r="N230" s="399"/>
      <c r="O230" s="384">
        <f t="shared" si="230"/>
        <v>0</v>
      </c>
      <c r="P230" s="399"/>
      <c r="Q230" s="399"/>
      <c r="R230" s="399"/>
      <c r="S230" s="399"/>
      <c r="T230" s="384">
        <f t="shared" si="240"/>
        <v>3224463.47</v>
      </c>
      <c r="U230" s="399">
        <v>2066773.73</v>
      </c>
      <c r="V230" s="399">
        <v>905488.33</v>
      </c>
      <c r="W230" s="399">
        <v>252201.41</v>
      </c>
      <c r="X230" s="399"/>
      <c r="Y230" s="384">
        <f t="shared" si="241"/>
        <v>87023.53</v>
      </c>
      <c r="Z230" s="399">
        <v>55779.18</v>
      </c>
      <c r="AA230" s="399">
        <v>24437.8</v>
      </c>
      <c r="AB230" s="399">
        <v>6806.55</v>
      </c>
      <c r="AC230" s="419">
        <v>0</v>
      </c>
      <c r="AD230" s="384">
        <f t="shared" si="244"/>
        <v>0</v>
      </c>
      <c r="AE230" s="399"/>
      <c r="AF230" s="399"/>
      <c r="AG230" s="399"/>
      <c r="AH230" s="419"/>
      <c r="AI230" s="384">
        <f t="shared" si="245"/>
        <v>0</v>
      </c>
      <c r="AJ230" s="399"/>
      <c r="AK230" s="399"/>
      <c r="AL230" s="399"/>
      <c r="AM230" s="419"/>
      <c r="AN230" s="384">
        <v>0</v>
      </c>
      <c r="AO230" s="399"/>
      <c r="AP230" s="399"/>
      <c r="AQ230" s="399"/>
      <c r="AR230" s="419"/>
      <c r="AS230" s="384">
        <f t="shared" si="246"/>
        <v>0</v>
      </c>
      <c r="AT230" s="399"/>
      <c r="AU230" s="399"/>
      <c r="AV230" s="399"/>
      <c r="AW230" s="419"/>
      <c r="AX230" s="384">
        <f t="shared" si="247"/>
        <v>0</v>
      </c>
      <c r="AY230" s="399"/>
      <c r="AZ230" s="399"/>
      <c r="BA230" s="399"/>
      <c r="BB230" s="419"/>
      <c r="BC230" s="384">
        <f t="shared" ref="BC230:BC254" si="250">E230-J230-O230-T230-Y230-AD230-AI230-AN230-AS230-AX230</f>
        <v>-2.0372681319713593E-10</v>
      </c>
      <c r="BD230" s="399">
        <v>90.9</v>
      </c>
      <c r="BE230" s="399">
        <v>95.2</v>
      </c>
      <c r="BF230" s="399">
        <v>105.91</v>
      </c>
      <c r="BG230" s="384">
        <f t="shared" si="248"/>
        <v>0</v>
      </c>
      <c r="BH230" s="399"/>
      <c r="BI230" s="399"/>
      <c r="BJ230" s="399"/>
      <c r="BK230" s="399"/>
      <c r="BL230" s="384">
        <f t="shared" si="190"/>
        <v>0</v>
      </c>
      <c r="BM230" s="384"/>
      <c r="BN230" s="384"/>
      <c r="BO230" s="384"/>
      <c r="BP230" s="384"/>
      <c r="BQ230" s="384">
        <f t="shared" si="249"/>
        <v>0</v>
      </c>
      <c r="BR230" s="399"/>
      <c r="BS230" s="399"/>
      <c r="BT230" s="399"/>
      <c r="BU230" s="419"/>
      <c r="BV230" s="384">
        <f t="shared" si="243"/>
        <v>-2.0372681319713593E-10</v>
      </c>
    </row>
    <row r="231" spans="1:74" ht="32.450000000000003" customHeight="1" x14ac:dyDescent="0.25">
      <c r="A231" s="382" t="s">
        <v>53</v>
      </c>
      <c r="B231" s="383" t="s">
        <v>8</v>
      </c>
      <c r="C231" s="374">
        <v>226</v>
      </c>
      <c r="D231" s="387" t="s">
        <v>624</v>
      </c>
      <c r="E231" s="384">
        <f>F231+G231+H231+I231</f>
        <v>10000</v>
      </c>
      <c r="F231" s="384"/>
      <c r="G231" s="384"/>
      <c r="H231" s="384"/>
      <c r="I231" s="384">
        <v>10000</v>
      </c>
      <c r="J231" s="384">
        <f t="shared" si="239"/>
        <v>0</v>
      </c>
      <c r="K231" s="384"/>
      <c r="L231" s="384"/>
      <c r="M231" s="384"/>
      <c r="N231" s="384"/>
      <c r="O231" s="384">
        <f t="shared" si="230"/>
        <v>10000</v>
      </c>
      <c r="P231" s="384"/>
      <c r="Q231" s="384"/>
      <c r="R231" s="384"/>
      <c r="S231" s="384">
        <v>10000</v>
      </c>
      <c r="T231" s="384">
        <f t="shared" si="240"/>
        <v>0</v>
      </c>
      <c r="U231" s="384"/>
      <c r="V231" s="384"/>
      <c r="W231" s="384"/>
      <c r="X231" s="384"/>
      <c r="Y231" s="384">
        <f t="shared" si="241"/>
        <v>0</v>
      </c>
      <c r="Z231" s="384"/>
      <c r="AA231" s="384"/>
      <c r="AB231" s="384"/>
      <c r="AC231" s="386"/>
      <c r="AD231" s="384">
        <f t="shared" si="244"/>
        <v>0</v>
      </c>
      <c r="AE231" s="384"/>
      <c r="AF231" s="384"/>
      <c r="AG231" s="384"/>
      <c r="AH231" s="386"/>
      <c r="AI231" s="384">
        <f t="shared" si="245"/>
        <v>0</v>
      </c>
      <c r="AJ231" s="384"/>
      <c r="AK231" s="384"/>
      <c r="AL231" s="384"/>
      <c r="AM231" s="386"/>
      <c r="AN231" s="384">
        <v>0</v>
      </c>
      <c r="AO231" s="384"/>
      <c r="AP231" s="384"/>
      <c r="AQ231" s="384"/>
      <c r="AR231" s="386"/>
      <c r="AS231" s="384">
        <f t="shared" si="246"/>
        <v>0</v>
      </c>
      <c r="AT231" s="384"/>
      <c r="AU231" s="384"/>
      <c r="AV231" s="384"/>
      <c r="AW231" s="386"/>
      <c r="AX231" s="384">
        <f t="shared" si="247"/>
        <v>0</v>
      </c>
      <c r="AY231" s="384"/>
      <c r="AZ231" s="384"/>
      <c r="BA231" s="384"/>
      <c r="BB231" s="386"/>
      <c r="BC231" s="384">
        <f t="shared" si="250"/>
        <v>0</v>
      </c>
      <c r="BD231" s="384"/>
      <c r="BE231" s="384"/>
      <c r="BF231" s="384"/>
      <c r="BG231" s="384">
        <f t="shared" si="248"/>
        <v>0</v>
      </c>
      <c r="BH231" s="384"/>
      <c r="BI231" s="384"/>
      <c r="BJ231" s="384"/>
      <c r="BK231" s="384"/>
      <c r="BL231" s="384">
        <f t="shared" si="190"/>
        <v>0</v>
      </c>
      <c r="BM231" s="384"/>
      <c r="BN231" s="384"/>
      <c r="BO231" s="384"/>
      <c r="BP231" s="384"/>
      <c r="BQ231" s="384">
        <f t="shared" si="249"/>
        <v>0</v>
      </c>
      <c r="BR231" s="384"/>
      <c r="BS231" s="384"/>
      <c r="BT231" s="384"/>
      <c r="BU231" s="386"/>
      <c r="BV231" s="384">
        <f t="shared" si="243"/>
        <v>0</v>
      </c>
    </row>
    <row r="232" spans="1:74" ht="54" customHeight="1" x14ac:dyDescent="0.25">
      <c r="A232" s="382" t="s">
        <v>54</v>
      </c>
      <c r="B232" s="383" t="s">
        <v>11</v>
      </c>
      <c r="C232" s="374">
        <v>226</v>
      </c>
      <c r="D232" s="387" t="s">
        <v>625</v>
      </c>
      <c r="E232" s="384">
        <f t="shared" ref="E232:E244" si="251">F232+G232+H232+I232</f>
        <v>1490455.64</v>
      </c>
      <c r="F232" s="384"/>
      <c r="G232" s="384"/>
      <c r="H232" s="384"/>
      <c r="I232" s="384">
        <v>1490455.64</v>
      </c>
      <c r="J232" s="384">
        <f t="shared" si="239"/>
        <v>0</v>
      </c>
      <c r="K232" s="384"/>
      <c r="L232" s="384"/>
      <c r="M232" s="384"/>
      <c r="N232" s="384"/>
      <c r="O232" s="384">
        <f t="shared" si="230"/>
        <v>1490455.64</v>
      </c>
      <c r="P232" s="384"/>
      <c r="Q232" s="384"/>
      <c r="R232" s="384"/>
      <c r="S232" s="384">
        <v>1490455.64</v>
      </c>
      <c r="T232" s="384">
        <f t="shared" si="240"/>
        <v>0</v>
      </c>
      <c r="U232" s="384"/>
      <c r="V232" s="384"/>
      <c r="W232" s="384"/>
      <c r="X232" s="384"/>
      <c r="Y232" s="384">
        <f t="shared" si="241"/>
        <v>0</v>
      </c>
      <c r="Z232" s="384"/>
      <c r="AA232" s="384"/>
      <c r="AB232" s="384"/>
      <c r="AC232" s="386"/>
      <c r="AD232" s="384">
        <f t="shared" si="244"/>
        <v>0</v>
      </c>
      <c r="AE232" s="384"/>
      <c r="AF232" s="384"/>
      <c r="AG232" s="384"/>
      <c r="AH232" s="386"/>
      <c r="AI232" s="384">
        <f t="shared" si="245"/>
        <v>0</v>
      </c>
      <c r="AJ232" s="384"/>
      <c r="AK232" s="384"/>
      <c r="AL232" s="384"/>
      <c r="AM232" s="386"/>
      <c r="AN232" s="384">
        <v>0</v>
      </c>
      <c r="AO232" s="384"/>
      <c r="AP232" s="384"/>
      <c r="AQ232" s="384"/>
      <c r="AR232" s="386"/>
      <c r="AS232" s="384">
        <f t="shared" si="246"/>
        <v>0</v>
      </c>
      <c r="AT232" s="384"/>
      <c r="AU232" s="384"/>
      <c r="AV232" s="384"/>
      <c r="AW232" s="386"/>
      <c r="AX232" s="384">
        <f t="shared" si="247"/>
        <v>0</v>
      </c>
      <c r="AY232" s="384"/>
      <c r="AZ232" s="384"/>
      <c r="BA232" s="384"/>
      <c r="BB232" s="386"/>
      <c r="BC232" s="384">
        <f t="shared" si="250"/>
        <v>0</v>
      </c>
      <c r="BD232" s="384"/>
      <c r="BE232" s="384"/>
      <c r="BF232" s="384"/>
      <c r="BG232" s="384">
        <f t="shared" si="248"/>
        <v>0</v>
      </c>
      <c r="BH232" s="384"/>
      <c r="BI232" s="384"/>
      <c r="BJ232" s="384"/>
      <c r="BK232" s="384"/>
      <c r="BL232" s="384">
        <f t="shared" si="190"/>
        <v>0</v>
      </c>
      <c r="BM232" s="384"/>
      <c r="BN232" s="384"/>
      <c r="BO232" s="384"/>
      <c r="BP232" s="384"/>
      <c r="BQ232" s="384">
        <f t="shared" si="249"/>
        <v>0</v>
      </c>
      <c r="BR232" s="384"/>
      <c r="BS232" s="384"/>
      <c r="BT232" s="384"/>
      <c r="BU232" s="386"/>
      <c r="BV232" s="384">
        <f t="shared" si="243"/>
        <v>0</v>
      </c>
    </row>
    <row r="233" spans="1:74" ht="43.15" customHeight="1" x14ac:dyDescent="0.25">
      <c r="A233" s="382" t="s">
        <v>55</v>
      </c>
      <c r="B233" s="383" t="s">
        <v>20</v>
      </c>
      <c r="C233" s="374">
        <v>226</v>
      </c>
      <c r="D233" s="387" t="s">
        <v>626</v>
      </c>
      <c r="E233" s="384">
        <f t="shared" si="251"/>
        <v>139596.66</v>
      </c>
      <c r="F233" s="384"/>
      <c r="G233" s="384"/>
      <c r="H233" s="384"/>
      <c r="I233" s="384">
        <v>139596.66</v>
      </c>
      <c r="J233" s="384">
        <f t="shared" si="239"/>
        <v>0</v>
      </c>
      <c r="K233" s="384"/>
      <c r="L233" s="384"/>
      <c r="M233" s="384"/>
      <c r="N233" s="384"/>
      <c r="O233" s="384">
        <f t="shared" si="230"/>
        <v>0</v>
      </c>
      <c r="P233" s="384"/>
      <c r="Q233" s="384"/>
      <c r="R233" s="384"/>
      <c r="S233" s="384"/>
      <c r="T233" s="384">
        <f t="shared" si="240"/>
        <v>43827.62</v>
      </c>
      <c r="U233" s="384"/>
      <c r="V233" s="384"/>
      <c r="W233" s="384"/>
      <c r="X233" s="384">
        <v>43827.62</v>
      </c>
      <c r="Y233" s="384">
        <f t="shared" si="241"/>
        <v>77688.61</v>
      </c>
      <c r="Z233" s="384"/>
      <c r="AA233" s="384"/>
      <c r="AC233" s="386">
        <f>52973.79+4851.83+5747+1200.34+9735.54+3180.11</f>
        <v>77688.61</v>
      </c>
      <c r="AD233" s="384">
        <f t="shared" si="244"/>
        <v>0</v>
      </c>
      <c r="AE233" s="384"/>
      <c r="AF233" s="384"/>
      <c r="AH233" s="386"/>
      <c r="AI233" s="384">
        <f t="shared" si="245"/>
        <v>0</v>
      </c>
      <c r="AJ233" s="384"/>
      <c r="AK233" s="384"/>
      <c r="AM233" s="386"/>
      <c r="AN233" s="384">
        <v>0</v>
      </c>
      <c r="AO233" s="384"/>
      <c r="AP233" s="384"/>
      <c r="AR233" s="386"/>
      <c r="AS233" s="384">
        <f t="shared" si="246"/>
        <v>0</v>
      </c>
      <c r="AT233" s="384"/>
      <c r="AU233" s="384"/>
      <c r="AW233" s="386"/>
      <c r="AX233" s="384">
        <f t="shared" si="247"/>
        <v>0</v>
      </c>
      <c r="AY233" s="384"/>
      <c r="AZ233" s="384"/>
      <c r="BB233" s="386"/>
      <c r="BC233" s="384">
        <f t="shared" si="250"/>
        <v>18080.430000000008</v>
      </c>
      <c r="BD233" s="384"/>
      <c r="BE233" s="384"/>
      <c r="BF233" s="384"/>
      <c r="BG233" s="384">
        <f t="shared" si="248"/>
        <v>0</v>
      </c>
      <c r="BH233" s="384"/>
      <c r="BI233" s="384"/>
      <c r="BJ233" s="384"/>
      <c r="BK233" s="384"/>
      <c r="BL233" s="384">
        <f t="shared" si="190"/>
        <v>18080.430000000008</v>
      </c>
      <c r="BM233" s="384"/>
      <c r="BN233" s="384"/>
      <c r="BO233" s="384"/>
      <c r="BP233" s="384">
        <f>I233-N233-S233-X233-AC233-AH233-BK233-BB233-AM233-AR233-AW233</f>
        <v>18080.430000000008</v>
      </c>
      <c r="BQ233" s="384">
        <f t="shared" si="249"/>
        <v>0</v>
      </c>
      <c r="BR233" s="384"/>
      <c r="BS233" s="384"/>
      <c r="BU233" s="386"/>
      <c r="BV233" s="384">
        <f t="shared" si="243"/>
        <v>18080.430000000008</v>
      </c>
    </row>
    <row r="234" spans="1:74" ht="42" customHeight="1" x14ac:dyDescent="0.25">
      <c r="A234" s="382" t="s">
        <v>56</v>
      </c>
      <c r="B234" s="383" t="s">
        <v>12</v>
      </c>
      <c r="C234" s="374">
        <v>226</v>
      </c>
      <c r="D234" s="387" t="s">
        <v>627</v>
      </c>
      <c r="E234" s="384">
        <f t="shared" si="251"/>
        <v>418391.17</v>
      </c>
      <c r="F234" s="384"/>
      <c r="G234" s="384"/>
      <c r="H234" s="384"/>
      <c r="I234" s="384">
        <v>418391.17</v>
      </c>
      <c r="J234" s="384">
        <f t="shared" si="239"/>
        <v>0</v>
      </c>
      <c r="K234" s="384"/>
      <c r="L234" s="384"/>
      <c r="M234" s="384"/>
      <c r="N234" s="384"/>
      <c r="O234" s="384">
        <f t="shared" si="230"/>
        <v>188276.02</v>
      </c>
      <c r="P234" s="384"/>
      <c r="Q234" s="384"/>
      <c r="R234" s="384"/>
      <c r="S234" s="384">
        <v>188276.02</v>
      </c>
      <c r="T234" s="384">
        <f t="shared" si="240"/>
        <v>0</v>
      </c>
      <c r="U234" s="384"/>
      <c r="V234" s="384"/>
      <c r="W234" s="384"/>
      <c r="X234" s="384"/>
      <c r="Y234" s="384">
        <f t="shared" si="241"/>
        <v>0</v>
      </c>
      <c r="Z234" s="384"/>
      <c r="AA234" s="384"/>
      <c r="AB234" s="384"/>
      <c r="AC234" s="386"/>
      <c r="AD234" s="384">
        <f t="shared" si="244"/>
        <v>230115.15</v>
      </c>
      <c r="AE234" s="384"/>
      <c r="AF234" s="384"/>
      <c r="AG234" s="384"/>
      <c r="AH234" s="386">
        <v>230115.15</v>
      </c>
      <c r="AI234" s="384">
        <f t="shared" si="245"/>
        <v>0</v>
      </c>
      <c r="AJ234" s="384"/>
      <c r="AK234" s="384"/>
      <c r="AL234" s="384"/>
      <c r="AM234" s="386"/>
      <c r="AN234" s="384">
        <v>0</v>
      </c>
      <c r="AO234" s="384"/>
      <c r="AP234" s="384"/>
      <c r="AQ234" s="384"/>
      <c r="AR234" s="386"/>
      <c r="AS234" s="384">
        <f t="shared" si="246"/>
        <v>0</v>
      </c>
      <c r="AT234" s="384"/>
      <c r="AU234" s="384"/>
      <c r="AV234" s="384"/>
      <c r="AW234" s="386"/>
      <c r="AX234" s="384">
        <f t="shared" si="247"/>
        <v>0</v>
      </c>
      <c r="AY234" s="384"/>
      <c r="AZ234" s="384"/>
      <c r="BA234" s="384"/>
      <c r="BB234" s="386"/>
      <c r="BC234" s="384">
        <f t="shared" si="250"/>
        <v>0</v>
      </c>
      <c r="BD234" s="384"/>
      <c r="BE234" s="384"/>
      <c r="BF234" s="384"/>
      <c r="BG234" s="384">
        <f t="shared" si="248"/>
        <v>0</v>
      </c>
      <c r="BH234" s="384"/>
      <c r="BI234" s="384"/>
      <c r="BJ234" s="384"/>
      <c r="BK234" s="384"/>
      <c r="BL234" s="384">
        <f t="shared" si="190"/>
        <v>0</v>
      </c>
      <c r="BM234" s="384"/>
      <c r="BN234" s="384"/>
      <c r="BO234" s="384"/>
      <c r="BP234" s="384"/>
      <c r="BQ234" s="384">
        <f t="shared" si="249"/>
        <v>0</v>
      </c>
      <c r="BR234" s="384"/>
      <c r="BS234" s="384"/>
      <c r="BT234" s="384"/>
      <c r="BU234" s="386"/>
      <c r="BV234" s="384">
        <f t="shared" si="243"/>
        <v>0</v>
      </c>
    </row>
    <row r="235" spans="1:74" ht="43.9" customHeight="1" x14ac:dyDescent="0.25">
      <c r="A235" s="382" t="s">
        <v>57</v>
      </c>
      <c r="B235" s="383" t="s">
        <v>13</v>
      </c>
      <c r="C235" s="374">
        <v>226</v>
      </c>
      <c r="D235" s="387" t="s">
        <v>628</v>
      </c>
      <c r="E235" s="384">
        <f t="shared" si="251"/>
        <v>901873.41</v>
      </c>
      <c r="F235" s="384"/>
      <c r="G235" s="384"/>
      <c r="H235" s="384"/>
      <c r="I235" s="384">
        <v>901873.41</v>
      </c>
      <c r="J235" s="384">
        <f t="shared" si="239"/>
        <v>0</v>
      </c>
      <c r="K235" s="384"/>
      <c r="L235" s="384"/>
      <c r="M235" s="384"/>
      <c r="N235" s="384"/>
      <c r="O235" s="384">
        <f t="shared" si="230"/>
        <v>0</v>
      </c>
      <c r="P235" s="384"/>
      <c r="Q235" s="384"/>
      <c r="R235" s="384"/>
      <c r="S235" s="384"/>
      <c r="T235" s="384">
        <f t="shared" si="240"/>
        <v>586217.72</v>
      </c>
      <c r="U235" s="384"/>
      <c r="V235" s="384"/>
      <c r="W235" s="384"/>
      <c r="X235" s="384">
        <v>586217.72</v>
      </c>
      <c r="Y235" s="384">
        <f t="shared" si="241"/>
        <v>315655.69</v>
      </c>
      <c r="Z235" s="384"/>
      <c r="AA235" s="384"/>
      <c r="AB235" s="384"/>
      <c r="AC235" s="386">
        <v>315655.69</v>
      </c>
      <c r="AD235" s="384">
        <f t="shared" si="244"/>
        <v>0</v>
      </c>
      <c r="AE235" s="384"/>
      <c r="AF235" s="384"/>
      <c r="AG235" s="384"/>
      <c r="AH235" s="386"/>
      <c r="AI235" s="384">
        <f t="shared" si="245"/>
        <v>0</v>
      </c>
      <c r="AJ235" s="384"/>
      <c r="AK235" s="384"/>
      <c r="AL235" s="384"/>
      <c r="AM235" s="386"/>
      <c r="AN235" s="384">
        <v>0</v>
      </c>
      <c r="AO235" s="384"/>
      <c r="AP235" s="384"/>
      <c r="AQ235" s="384"/>
      <c r="AR235" s="386"/>
      <c r="AS235" s="384">
        <f t="shared" si="246"/>
        <v>0</v>
      </c>
      <c r="AT235" s="384"/>
      <c r="AU235" s="384"/>
      <c r="AV235" s="384"/>
      <c r="AW235" s="386"/>
      <c r="AX235" s="384">
        <f t="shared" si="247"/>
        <v>0</v>
      </c>
      <c r="AY235" s="384"/>
      <c r="AZ235" s="384"/>
      <c r="BA235" s="384"/>
      <c r="BB235" s="386"/>
      <c r="BC235" s="384">
        <f t="shared" si="250"/>
        <v>5.8207660913467407E-11</v>
      </c>
      <c r="BD235" s="384"/>
      <c r="BE235" s="384"/>
      <c r="BF235" s="384"/>
      <c r="BG235" s="384">
        <f t="shared" si="248"/>
        <v>0</v>
      </c>
      <c r="BH235" s="384"/>
      <c r="BI235" s="384"/>
      <c r="BJ235" s="384"/>
      <c r="BK235" s="384"/>
      <c r="BL235" s="384">
        <f t="shared" si="190"/>
        <v>0</v>
      </c>
      <c r="BM235" s="384"/>
      <c r="BN235" s="384"/>
      <c r="BO235" s="384"/>
      <c r="BP235" s="384"/>
      <c r="BQ235" s="384">
        <f t="shared" si="249"/>
        <v>0</v>
      </c>
      <c r="BR235" s="384"/>
      <c r="BS235" s="384"/>
      <c r="BT235" s="384"/>
      <c r="BU235" s="386"/>
      <c r="BV235" s="384">
        <f t="shared" si="243"/>
        <v>5.8207660913467407E-11</v>
      </c>
    </row>
    <row r="236" spans="1:74" ht="40.15" customHeight="1" x14ac:dyDescent="0.25">
      <c r="A236" s="382" t="s">
        <v>58</v>
      </c>
      <c r="B236" s="383" t="s">
        <v>15</v>
      </c>
      <c r="C236" s="374">
        <v>226</v>
      </c>
      <c r="D236" s="387" t="s">
        <v>629</v>
      </c>
      <c r="E236" s="384">
        <f t="shared" si="251"/>
        <v>985179.19</v>
      </c>
      <c r="F236" s="384"/>
      <c r="G236" s="384"/>
      <c r="H236" s="384"/>
      <c r="I236" s="384">
        <v>985179.19</v>
      </c>
      <c r="J236" s="384">
        <f t="shared" si="239"/>
        <v>0</v>
      </c>
      <c r="K236" s="384"/>
      <c r="L236" s="384"/>
      <c r="M236" s="384"/>
      <c r="N236" s="384"/>
      <c r="O236" s="384">
        <f t="shared" si="230"/>
        <v>0</v>
      </c>
      <c r="P236" s="384"/>
      <c r="Q236" s="384"/>
      <c r="R236" s="384"/>
      <c r="S236" s="384"/>
      <c r="T236" s="384">
        <f t="shared" si="240"/>
        <v>640366.48</v>
      </c>
      <c r="U236" s="384"/>
      <c r="V236" s="384"/>
      <c r="W236" s="384"/>
      <c r="X236" s="384">
        <v>640366.48</v>
      </c>
      <c r="Y236" s="384">
        <f t="shared" si="241"/>
        <v>344812.71</v>
      </c>
      <c r="Z236" s="384"/>
      <c r="AA236" s="384"/>
      <c r="AB236" s="384"/>
      <c r="AC236" s="386">
        <v>344812.71</v>
      </c>
      <c r="AD236" s="384">
        <f t="shared" si="244"/>
        <v>0</v>
      </c>
      <c r="AE236" s="384"/>
      <c r="AF236" s="384"/>
      <c r="AG236" s="384"/>
      <c r="AH236" s="386"/>
      <c r="AI236" s="384">
        <f t="shared" si="245"/>
        <v>0</v>
      </c>
      <c r="AJ236" s="384"/>
      <c r="AK236" s="384"/>
      <c r="AL236" s="384"/>
      <c r="AM236" s="386"/>
      <c r="AN236" s="384">
        <v>0</v>
      </c>
      <c r="AO236" s="384"/>
      <c r="AP236" s="384"/>
      <c r="AQ236" s="384"/>
      <c r="AR236" s="386"/>
      <c r="AS236" s="384">
        <f t="shared" si="246"/>
        <v>0</v>
      </c>
      <c r="AT236" s="384"/>
      <c r="AU236" s="384"/>
      <c r="AV236" s="384"/>
      <c r="AW236" s="386"/>
      <c r="AX236" s="384">
        <f t="shared" si="247"/>
        <v>0</v>
      </c>
      <c r="AY236" s="384"/>
      <c r="AZ236" s="384"/>
      <c r="BA236" s="384"/>
      <c r="BB236" s="386"/>
      <c r="BC236" s="384">
        <f t="shared" si="250"/>
        <v>-5.8207660913467407E-11</v>
      </c>
      <c r="BD236" s="384"/>
      <c r="BE236" s="384"/>
      <c r="BF236" s="384"/>
      <c r="BG236" s="384">
        <f t="shared" si="248"/>
        <v>0</v>
      </c>
      <c r="BH236" s="384"/>
      <c r="BI236" s="384"/>
      <c r="BJ236" s="384"/>
      <c r="BK236" s="384"/>
      <c r="BL236" s="384">
        <f t="shared" si="190"/>
        <v>0</v>
      </c>
      <c r="BM236" s="384"/>
      <c r="BN236" s="384"/>
      <c r="BO236" s="384"/>
      <c r="BP236" s="384"/>
      <c r="BQ236" s="384">
        <f t="shared" si="249"/>
        <v>0</v>
      </c>
      <c r="BR236" s="384"/>
      <c r="BS236" s="384"/>
      <c r="BT236" s="384"/>
      <c r="BU236" s="386"/>
      <c r="BV236" s="384">
        <f t="shared" si="243"/>
        <v>-5.8207660913467407E-11</v>
      </c>
    </row>
    <row r="237" spans="1:74" ht="43.15" customHeight="1" x14ac:dyDescent="0.25">
      <c r="A237" s="382" t="s">
        <v>59</v>
      </c>
      <c r="B237" s="383" t="s">
        <v>14</v>
      </c>
      <c r="C237" s="374">
        <v>226</v>
      </c>
      <c r="D237" s="387" t="s">
        <v>630</v>
      </c>
      <c r="E237" s="384">
        <f t="shared" si="251"/>
        <v>1319877.29</v>
      </c>
      <c r="F237" s="384"/>
      <c r="G237" s="384"/>
      <c r="H237" s="384"/>
      <c r="I237" s="384">
        <v>1319877.29</v>
      </c>
      <c r="J237" s="384">
        <f t="shared" si="239"/>
        <v>0</v>
      </c>
      <c r="K237" s="384"/>
      <c r="L237" s="384"/>
      <c r="M237" s="384"/>
      <c r="N237" s="384"/>
      <c r="O237" s="384">
        <f t="shared" si="230"/>
        <v>0</v>
      </c>
      <c r="P237" s="384"/>
      <c r="Q237" s="384"/>
      <c r="R237" s="384"/>
      <c r="S237" s="384"/>
      <c r="T237" s="384">
        <f t="shared" si="240"/>
        <v>857920.23</v>
      </c>
      <c r="U237" s="384"/>
      <c r="V237" s="384"/>
      <c r="W237" s="384"/>
      <c r="X237" s="384">
        <v>857920.23</v>
      </c>
      <c r="Y237" s="384">
        <f t="shared" si="241"/>
        <v>461957.06</v>
      </c>
      <c r="Z237" s="384"/>
      <c r="AA237" s="384"/>
      <c r="AB237" s="384"/>
      <c r="AC237" s="386">
        <v>461957.06</v>
      </c>
      <c r="AD237" s="384">
        <f t="shared" si="244"/>
        <v>0</v>
      </c>
      <c r="AE237" s="384"/>
      <c r="AF237" s="384"/>
      <c r="AG237" s="384"/>
      <c r="AH237" s="386"/>
      <c r="AI237" s="384">
        <f t="shared" si="245"/>
        <v>0</v>
      </c>
      <c r="AJ237" s="384"/>
      <c r="AK237" s="384"/>
      <c r="AL237" s="384"/>
      <c r="AM237" s="386"/>
      <c r="AN237" s="384">
        <v>0</v>
      </c>
      <c r="AO237" s="384"/>
      <c r="AP237" s="384"/>
      <c r="AQ237" s="384"/>
      <c r="AR237" s="386"/>
      <c r="AS237" s="384">
        <f t="shared" si="246"/>
        <v>0</v>
      </c>
      <c r="AT237" s="384"/>
      <c r="AU237" s="384"/>
      <c r="AV237" s="384"/>
      <c r="AW237" s="386"/>
      <c r="AX237" s="384">
        <f t="shared" si="247"/>
        <v>0</v>
      </c>
      <c r="AY237" s="384"/>
      <c r="AZ237" s="384"/>
      <c r="BA237" s="384"/>
      <c r="BB237" s="386"/>
      <c r="BC237" s="384">
        <f t="shared" si="250"/>
        <v>5.8207660913467407E-11</v>
      </c>
      <c r="BD237" s="384"/>
      <c r="BE237" s="384"/>
      <c r="BF237" s="384"/>
      <c r="BG237" s="384">
        <f t="shared" si="248"/>
        <v>0</v>
      </c>
      <c r="BH237" s="384"/>
      <c r="BI237" s="384"/>
      <c r="BJ237" s="384"/>
      <c r="BK237" s="384"/>
      <c r="BL237" s="384">
        <f t="shared" si="190"/>
        <v>0</v>
      </c>
      <c r="BM237" s="384"/>
      <c r="BN237" s="384"/>
      <c r="BO237" s="384"/>
      <c r="BP237" s="384"/>
      <c r="BQ237" s="384">
        <f t="shared" si="249"/>
        <v>0</v>
      </c>
      <c r="BR237" s="384"/>
      <c r="BS237" s="384"/>
      <c r="BT237" s="384"/>
      <c r="BU237" s="386"/>
      <c r="BV237" s="384">
        <f t="shared" si="243"/>
        <v>5.8207660913467407E-11</v>
      </c>
    </row>
    <row r="238" spans="1:74" ht="45" customHeight="1" x14ac:dyDescent="0.25">
      <c r="A238" s="382" t="s">
        <v>60</v>
      </c>
      <c r="B238" s="383" t="s">
        <v>270</v>
      </c>
      <c r="C238" s="374">
        <v>226</v>
      </c>
      <c r="D238" s="387" t="s">
        <v>631</v>
      </c>
      <c r="E238" s="384">
        <f t="shared" si="251"/>
        <v>71129.179999999993</v>
      </c>
      <c r="F238" s="384"/>
      <c r="G238" s="384"/>
      <c r="H238" s="384"/>
      <c r="I238" s="384">
        <v>71129.179999999993</v>
      </c>
      <c r="J238" s="384">
        <f>K238+L238+M238+N238</f>
        <v>0</v>
      </c>
      <c r="K238" s="384"/>
      <c r="L238" s="384"/>
      <c r="M238" s="384"/>
      <c r="N238" s="384"/>
      <c r="O238" s="384">
        <f>P238+Q238+R238+S238</f>
        <v>0</v>
      </c>
      <c r="P238" s="384"/>
      <c r="Q238" s="384"/>
      <c r="R238" s="384"/>
      <c r="S238" s="384"/>
      <c r="T238" s="384">
        <f>U238+V238+W238+X238</f>
        <v>0</v>
      </c>
      <c r="U238" s="384"/>
      <c r="V238" s="384"/>
      <c r="W238" s="384"/>
      <c r="X238" s="384">
        <v>0</v>
      </c>
      <c r="Y238" s="384">
        <f>Z238+AA238+AB238+AC238</f>
        <v>0</v>
      </c>
      <c r="Z238" s="384"/>
      <c r="AA238" s="384"/>
      <c r="AB238" s="384"/>
      <c r="AC238" s="386">
        <v>0</v>
      </c>
      <c r="AD238" s="384">
        <f>SUM(AE238:AH238)</f>
        <v>71129.179999999993</v>
      </c>
      <c r="AE238" s="384"/>
      <c r="AF238" s="384"/>
      <c r="AG238" s="384"/>
      <c r="AH238" s="386">
        <v>71129.179999999993</v>
      </c>
      <c r="AI238" s="384">
        <f>SUM(AJ238:AM238)</f>
        <v>0</v>
      </c>
      <c r="AJ238" s="384"/>
      <c r="AK238" s="384"/>
      <c r="AL238" s="384"/>
      <c r="AM238" s="386"/>
      <c r="AN238" s="384">
        <v>0</v>
      </c>
      <c r="AO238" s="384"/>
      <c r="AP238" s="384"/>
      <c r="AQ238" s="384"/>
      <c r="AR238" s="386"/>
      <c r="AS238" s="384">
        <f>SUM(AT238:AW238)</f>
        <v>0</v>
      </c>
      <c r="AT238" s="384"/>
      <c r="AU238" s="384"/>
      <c r="AV238" s="384"/>
      <c r="AW238" s="386"/>
      <c r="AX238" s="384">
        <f>SUM(AY238:BB238)</f>
        <v>0</v>
      </c>
      <c r="AY238" s="384"/>
      <c r="AZ238" s="384"/>
      <c r="BA238" s="384"/>
      <c r="BB238" s="386"/>
      <c r="BC238" s="384">
        <f t="shared" si="250"/>
        <v>0</v>
      </c>
      <c r="BD238" s="384"/>
      <c r="BE238" s="384"/>
      <c r="BF238" s="384"/>
      <c r="BG238" s="384">
        <f>SUM(BH238:BK238)</f>
        <v>0</v>
      </c>
      <c r="BH238" s="384"/>
      <c r="BI238" s="384"/>
      <c r="BJ238" s="384"/>
      <c r="BK238" s="384"/>
      <c r="BL238" s="384">
        <f>BM238+BN238+BO238+BP238</f>
        <v>0</v>
      </c>
      <c r="BM238" s="384"/>
      <c r="BN238" s="384"/>
      <c r="BO238" s="384"/>
      <c r="BP238" s="384"/>
      <c r="BQ238" s="384">
        <f>SUM(BR238:BU238)</f>
        <v>0</v>
      </c>
      <c r="BR238" s="384"/>
      <c r="BS238" s="384"/>
      <c r="BT238" s="384"/>
      <c r="BU238" s="386"/>
      <c r="BV238" s="384">
        <f t="shared" si="243"/>
        <v>0</v>
      </c>
    </row>
    <row r="239" spans="1:74" ht="26.45" customHeight="1" x14ac:dyDescent="0.25">
      <c r="A239" s="382" t="s">
        <v>61</v>
      </c>
      <c r="B239" s="383" t="s">
        <v>22</v>
      </c>
      <c r="C239" s="374">
        <v>226</v>
      </c>
      <c r="D239" s="387" t="s">
        <v>638</v>
      </c>
      <c r="E239" s="384">
        <f t="shared" si="251"/>
        <v>9356.75</v>
      </c>
      <c r="F239" s="384"/>
      <c r="G239" s="384"/>
      <c r="H239" s="384"/>
      <c r="I239" s="384">
        <v>9356.75</v>
      </c>
      <c r="J239" s="384">
        <f t="shared" si="239"/>
        <v>0</v>
      </c>
      <c r="K239" s="384"/>
      <c r="L239" s="384"/>
      <c r="M239" s="384"/>
      <c r="N239" s="384"/>
      <c r="O239" s="384">
        <f t="shared" si="230"/>
        <v>9356.75</v>
      </c>
      <c r="P239" s="384"/>
      <c r="Q239" s="384"/>
      <c r="R239" s="384"/>
      <c r="S239" s="384">
        <v>9356.75</v>
      </c>
      <c r="T239" s="384">
        <f t="shared" si="240"/>
        <v>0</v>
      </c>
      <c r="U239" s="384"/>
      <c r="V239" s="384"/>
      <c r="W239" s="384"/>
      <c r="X239" s="384"/>
      <c r="Y239" s="384">
        <f t="shared" si="241"/>
        <v>0</v>
      </c>
      <c r="Z239" s="384"/>
      <c r="AA239" s="384"/>
      <c r="AB239" s="384"/>
      <c r="AC239" s="386"/>
      <c r="AD239" s="384">
        <f t="shared" ref="AD239:AD244" si="252">SUM(AE239:AH239)</f>
        <v>0</v>
      </c>
      <c r="AE239" s="384"/>
      <c r="AF239" s="384"/>
      <c r="AG239" s="384"/>
      <c r="AH239" s="386"/>
      <c r="AI239" s="384">
        <f t="shared" ref="AI239:AI244" si="253">SUM(AJ239:AM239)</f>
        <v>0</v>
      </c>
      <c r="AJ239" s="384"/>
      <c r="AK239" s="384"/>
      <c r="AL239" s="384"/>
      <c r="AM239" s="386"/>
      <c r="AN239" s="384">
        <v>0</v>
      </c>
      <c r="AO239" s="384"/>
      <c r="AP239" s="384"/>
      <c r="AQ239" s="384"/>
      <c r="AR239" s="386"/>
      <c r="AS239" s="384">
        <f t="shared" ref="AS239:AS244" si="254">SUM(AT239:AW239)</f>
        <v>0</v>
      </c>
      <c r="AT239" s="384"/>
      <c r="AU239" s="384"/>
      <c r="AV239" s="384"/>
      <c r="AW239" s="386"/>
      <c r="AX239" s="384">
        <f t="shared" ref="AX239:AX244" si="255">SUM(AY239:BB239)</f>
        <v>0</v>
      </c>
      <c r="AY239" s="384"/>
      <c r="AZ239" s="384"/>
      <c r="BA239" s="384"/>
      <c r="BB239" s="386"/>
      <c r="BC239" s="384">
        <f t="shared" si="250"/>
        <v>0</v>
      </c>
      <c r="BD239" s="384"/>
      <c r="BE239" s="384"/>
      <c r="BF239" s="384"/>
      <c r="BG239" s="384">
        <f t="shared" si="248"/>
        <v>0</v>
      </c>
      <c r="BH239" s="384"/>
      <c r="BI239" s="384"/>
      <c r="BJ239" s="384"/>
      <c r="BK239" s="384"/>
      <c r="BL239" s="384">
        <f t="shared" si="190"/>
        <v>0</v>
      </c>
      <c r="BM239" s="384"/>
      <c r="BN239" s="384"/>
      <c r="BO239" s="384"/>
      <c r="BP239" s="384"/>
      <c r="BQ239" s="384">
        <f t="shared" si="249"/>
        <v>0</v>
      </c>
      <c r="BR239" s="384"/>
      <c r="BS239" s="384"/>
      <c r="BT239" s="384"/>
      <c r="BU239" s="386"/>
      <c r="BV239" s="384">
        <f t="shared" si="243"/>
        <v>0</v>
      </c>
    </row>
    <row r="240" spans="1:74" ht="30" customHeight="1" x14ac:dyDescent="0.25">
      <c r="A240" s="382" t="s">
        <v>120</v>
      </c>
      <c r="B240" s="388" t="s">
        <v>24</v>
      </c>
      <c r="C240" s="374">
        <v>226</v>
      </c>
      <c r="D240" s="387" t="s">
        <v>632</v>
      </c>
      <c r="E240" s="384">
        <f t="shared" si="251"/>
        <v>99174</v>
      </c>
      <c r="F240" s="384"/>
      <c r="G240" s="384"/>
      <c r="H240" s="384"/>
      <c r="I240" s="384">
        <v>99174</v>
      </c>
      <c r="J240" s="384">
        <f t="shared" si="239"/>
        <v>0</v>
      </c>
      <c r="K240" s="384"/>
      <c r="L240" s="384"/>
      <c r="M240" s="384"/>
      <c r="N240" s="384"/>
      <c r="O240" s="384">
        <f t="shared" si="230"/>
        <v>0</v>
      </c>
      <c r="P240" s="384"/>
      <c r="Q240" s="384"/>
      <c r="R240" s="384"/>
      <c r="S240" s="384"/>
      <c r="T240" s="384">
        <f t="shared" si="240"/>
        <v>99174</v>
      </c>
      <c r="U240" s="384"/>
      <c r="V240" s="384"/>
      <c r="W240" s="384"/>
      <c r="X240" s="384">
        <v>99174</v>
      </c>
      <c r="Y240" s="384">
        <f t="shared" si="241"/>
        <v>0</v>
      </c>
      <c r="Z240" s="384"/>
      <c r="AA240" s="384"/>
      <c r="AB240" s="384"/>
      <c r="AC240" s="386"/>
      <c r="AD240" s="384">
        <f t="shared" si="252"/>
        <v>0</v>
      </c>
      <c r="AE240" s="384"/>
      <c r="AF240" s="384"/>
      <c r="AG240" s="384"/>
      <c r="AH240" s="386"/>
      <c r="AI240" s="384">
        <f t="shared" si="253"/>
        <v>0</v>
      </c>
      <c r="AJ240" s="384"/>
      <c r="AK240" s="384"/>
      <c r="AL240" s="384"/>
      <c r="AM240" s="386"/>
      <c r="AN240" s="384">
        <v>0</v>
      </c>
      <c r="AO240" s="384"/>
      <c r="AP240" s="384"/>
      <c r="AQ240" s="384"/>
      <c r="AR240" s="386"/>
      <c r="AS240" s="384">
        <f t="shared" si="254"/>
        <v>0</v>
      </c>
      <c r="AT240" s="384"/>
      <c r="AU240" s="384"/>
      <c r="AV240" s="384"/>
      <c r="AW240" s="386"/>
      <c r="AX240" s="384">
        <f t="shared" si="255"/>
        <v>0</v>
      </c>
      <c r="AY240" s="384"/>
      <c r="AZ240" s="384"/>
      <c r="BA240" s="384"/>
      <c r="BB240" s="386"/>
      <c r="BC240" s="384">
        <f t="shared" si="250"/>
        <v>0</v>
      </c>
      <c r="BD240" s="384"/>
      <c r="BE240" s="384"/>
      <c r="BF240" s="384"/>
      <c r="BG240" s="384">
        <f t="shared" si="248"/>
        <v>0</v>
      </c>
      <c r="BH240" s="384"/>
      <c r="BI240" s="384"/>
      <c r="BJ240" s="384"/>
      <c r="BK240" s="384"/>
      <c r="BL240" s="384">
        <f t="shared" si="190"/>
        <v>0</v>
      </c>
      <c r="BM240" s="384"/>
      <c r="BN240" s="384"/>
      <c r="BO240" s="384"/>
      <c r="BP240" s="384"/>
      <c r="BQ240" s="384">
        <f t="shared" si="249"/>
        <v>0</v>
      </c>
      <c r="BR240" s="384"/>
      <c r="BS240" s="384"/>
      <c r="BT240" s="384"/>
      <c r="BU240" s="386"/>
      <c r="BV240" s="384">
        <f t="shared" si="243"/>
        <v>0</v>
      </c>
    </row>
    <row r="241" spans="1:74" ht="44.45" customHeight="1" x14ac:dyDescent="0.25">
      <c r="A241" s="382" t="s">
        <v>121</v>
      </c>
      <c r="B241" s="388" t="s">
        <v>441</v>
      </c>
      <c r="C241" s="374">
        <v>226</v>
      </c>
      <c r="D241" s="387" t="s">
        <v>633</v>
      </c>
      <c r="E241" s="384">
        <f t="shared" si="251"/>
        <v>98932</v>
      </c>
      <c r="F241" s="384"/>
      <c r="G241" s="384"/>
      <c r="H241" s="384"/>
      <c r="I241" s="384">
        <v>98932</v>
      </c>
      <c r="J241" s="384">
        <f t="shared" si="239"/>
        <v>0</v>
      </c>
      <c r="K241" s="384"/>
      <c r="L241" s="384"/>
      <c r="M241" s="384"/>
      <c r="N241" s="384"/>
      <c r="O241" s="384">
        <f t="shared" si="230"/>
        <v>98932</v>
      </c>
      <c r="P241" s="384"/>
      <c r="Q241" s="384"/>
      <c r="R241" s="384"/>
      <c r="S241" s="384">
        <v>98932</v>
      </c>
      <c r="T241" s="384">
        <f t="shared" si="240"/>
        <v>0</v>
      </c>
      <c r="U241" s="384"/>
      <c r="V241" s="384"/>
      <c r="W241" s="384"/>
      <c r="X241" s="384"/>
      <c r="Y241" s="384">
        <f t="shared" si="241"/>
        <v>0</v>
      </c>
      <c r="Z241" s="384"/>
      <c r="AA241" s="384"/>
      <c r="AB241" s="384"/>
      <c r="AC241" s="386"/>
      <c r="AD241" s="384">
        <f t="shared" si="252"/>
        <v>0</v>
      </c>
      <c r="AE241" s="384"/>
      <c r="AF241" s="384"/>
      <c r="AG241" s="384"/>
      <c r="AH241" s="386"/>
      <c r="AI241" s="384">
        <f t="shared" si="253"/>
        <v>0</v>
      </c>
      <c r="AJ241" s="384"/>
      <c r="AK241" s="384"/>
      <c r="AL241" s="384"/>
      <c r="AM241" s="386"/>
      <c r="AN241" s="384">
        <v>0</v>
      </c>
      <c r="AO241" s="384"/>
      <c r="AP241" s="384"/>
      <c r="AQ241" s="384"/>
      <c r="AR241" s="386"/>
      <c r="AS241" s="384">
        <f t="shared" si="254"/>
        <v>0</v>
      </c>
      <c r="AT241" s="384"/>
      <c r="AU241" s="384"/>
      <c r="AV241" s="384"/>
      <c r="AW241" s="386"/>
      <c r="AX241" s="384">
        <f t="shared" si="255"/>
        <v>0</v>
      </c>
      <c r="AY241" s="384"/>
      <c r="AZ241" s="384"/>
      <c r="BA241" s="384"/>
      <c r="BB241" s="386"/>
      <c r="BC241" s="384">
        <f t="shared" si="250"/>
        <v>0</v>
      </c>
      <c r="BD241" s="384"/>
      <c r="BE241" s="384"/>
      <c r="BF241" s="384"/>
      <c r="BG241" s="384">
        <f t="shared" si="248"/>
        <v>0</v>
      </c>
      <c r="BH241" s="384"/>
      <c r="BI241" s="384"/>
      <c r="BJ241" s="384"/>
      <c r="BK241" s="384"/>
      <c r="BL241" s="384">
        <f t="shared" si="190"/>
        <v>0</v>
      </c>
      <c r="BM241" s="384"/>
      <c r="BN241" s="384"/>
      <c r="BO241" s="384"/>
      <c r="BP241" s="384"/>
      <c r="BQ241" s="384">
        <f t="shared" si="249"/>
        <v>0</v>
      </c>
      <c r="BR241" s="384"/>
      <c r="BS241" s="384"/>
      <c r="BT241" s="384"/>
      <c r="BU241" s="386"/>
      <c r="BV241" s="384">
        <f t="shared" si="243"/>
        <v>0</v>
      </c>
    </row>
    <row r="242" spans="1:74" ht="44.45" customHeight="1" x14ac:dyDescent="0.25">
      <c r="A242" s="382" t="s">
        <v>122</v>
      </c>
      <c r="B242" s="383" t="s">
        <v>23</v>
      </c>
      <c r="C242" s="374">
        <v>226</v>
      </c>
      <c r="D242" s="387" t="s">
        <v>634</v>
      </c>
      <c r="E242" s="384">
        <f t="shared" si="251"/>
        <v>622074.59</v>
      </c>
      <c r="F242" s="384"/>
      <c r="G242" s="384"/>
      <c r="H242" s="384"/>
      <c r="I242" s="384">
        <v>622074.59</v>
      </c>
      <c r="J242" s="384">
        <f t="shared" si="239"/>
        <v>0</v>
      </c>
      <c r="K242" s="384"/>
      <c r="L242" s="384"/>
      <c r="M242" s="384"/>
      <c r="N242" s="384"/>
      <c r="O242" s="384">
        <f t="shared" si="230"/>
        <v>186622.38</v>
      </c>
      <c r="P242" s="384"/>
      <c r="Q242" s="384"/>
      <c r="R242" s="384"/>
      <c r="S242" s="384">
        <v>186622.38</v>
      </c>
      <c r="T242" s="384">
        <f t="shared" si="240"/>
        <v>435452.21</v>
      </c>
      <c r="U242" s="384"/>
      <c r="V242" s="384"/>
      <c r="W242" s="384"/>
      <c r="X242" s="384">
        <v>435452.21</v>
      </c>
      <c r="Y242" s="384">
        <f t="shared" si="241"/>
        <v>0</v>
      </c>
      <c r="Z242" s="384"/>
      <c r="AA242" s="384"/>
      <c r="AB242" s="384"/>
      <c r="AC242" s="386"/>
      <c r="AD242" s="384">
        <f t="shared" si="252"/>
        <v>0</v>
      </c>
      <c r="AE242" s="384"/>
      <c r="AF242" s="384"/>
      <c r="AG242" s="384"/>
      <c r="AH242" s="386"/>
      <c r="AI242" s="384">
        <f t="shared" si="253"/>
        <v>0</v>
      </c>
      <c r="AJ242" s="384"/>
      <c r="AK242" s="384"/>
      <c r="AL242" s="384"/>
      <c r="AM242" s="386"/>
      <c r="AN242" s="384">
        <v>0</v>
      </c>
      <c r="AO242" s="384"/>
      <c r="AP242" s="384"/>
      <c r="AQ242" s="384"/>
      <c r="AR242" s="386"/>
      <c r="AS242" s="384">
        <f t="shared" si="254"/>
        <v>0</v>
      </c>
      <c r="AT242" s="384"/>
      <c r="AU242" s="384"/>
      <c r="AV242" s="384"/>
      <c r="AW242" s="386"/>
      <c r="AX242" s="384">
        <f t="shared" si="255"/>
        <v>0</v>
      </c>
      <c r="AY242" s="384"/>
      <c r="AZ242" s="384"/>
      <c r="BA242" s="384"/>
      <c r="BB242" s="386"/>
      <c r="BC242" s="384">
        <f t="shared" si="250"/>
        <v>-5.8207660913467407E-11</v>
      </c>
      <c r="BD242" s="384"/>
      <c r="BE242" s="384"/>
      <c r="BF242" s="384"/>
      <c r="BG242" s="384">
        <f t="shared" si="248"/>
        <v>0</v>
      </c>
      <c r="BH242" s="384"/>
      <c r="BI242" s="384"/>
      <c r="BJ242" s="384"/>
      <c r="BK242" s="384"/>
      <c r="BL242" s="384">
        <f t="shared" si="190"/>
        <v>0</v>
      </c>
      <c r="BM242" s="384"/>
      <c r="BN242" s="384"/>
      <c r="BO242" s="384"/>
      <c r="BP242" s="384"/>
      <c r="BQ242" s="384">
        <f t="shared" si="249"/>
        <v>0</v>
      </c>
      <c r="BR242" s="384"/>
      <c r="BS242" s="384"/>
      <c r="BT242" s="384"/>
      <c r="BU242" s="386"/>
      <c r="BV242" s="384">
        <f t="shared" si="243"/>
        <v>-5.8207660913467407E-11</v>
      </c>
    </row>
    <row r="243" spans="1:74" ht="52.9" customHeight="1" x14ac:dyDescent="0.25">
      <c r="A243" s="382" t="s">
        <v>222</v>
      </c>
      <c r="B243" s="383" t="s">
        <v>208</v>
      </c>
      <c r="C243" s="374">
        <v>226</v>
      </c>
      <c r="D243" s="387" t="s">
        <v>635</v>
      </c>
      <c r="E243" s="384">
        <f t="shared" si="251"/>
        <v>54075.69</v>
      </c>
      <c r="F243" s="384"/>
      <c r="G243" s="384"/>
      <c r="H243" s="384"/>
      <c r="I243" s="384">
        <v>54075.69</v>
      </c>
      <c r="J243" s="384">
        <f t="shared" si="239"/>
        <v>0</v>
      </c>
      <c r="K243" s="384"/>
      <c r="L243" s="384"/>
      <c r="M243" s="384"/>
      <c r="N243" s="384"/>
      <c r="O243" s="384">
        <f t="shared" si="230"/>
        <v>0</v>
      </c>
      <c r="P243" s="384"/>
      <c r="Q243" s="384"/>
      <c r="R243" s="384"/>
      <c r="S243" s="384"/>
      <c r="T243" s="384">
        <f t="shared" si="240"/>
        <v>54075.69</v>
      </c>
      <c r="U243" s="384"/>
      <c r="V243" s="384"/>
      <c r="W243" s="384"/>
      <c r="X243" s="384">
        <v>54075.69</v>
      </c>
      <c r="Y243" s="384">
        <f t="shared" si="241"/>
        <v>0</v>
      </c>
      <c r="Z243" s="384"/>
      <c r="AA243" s="384"/>
      <c r="AB243" s="384"/>
      <c r="AC243" s="386"/>
      <c r="AD243" s="384">
        <f t="shared" si="252"/>
        <v>0</v>
      </c>
      <c r="AE243" s="384"/>
      <c r="AF243" s="384"/>
      <c r="AG243" s="384"/>
      <c r="AH243" s="386"/>
      <c r="AI243" s="384">
        <f t="shared" si="253"/>
        <v>0</v>
      </c>
      <c r="AJ243" s="384"/>
      <c r="AK243" s="384"/>
      <c r="AL243" s="384"/>
      <c r="AM243" s="386"/>
      <c r="AN243" s="384">
        <v>0</v>
      </c>
      <c r="AO243" s="384"/>
      <c r="AP243" s="384"/>
      <c r="AQ243" s="384"/>
      <c r="AR243" s="386"/>
      <c r="AS243" s="384">
        <f t="shared" si="254"/>
        <v>0</v>
      </c>
      <c r="AT243" s="384"/>
      <c r="AU243" s="384"/>
      <c r="AV243" s="384"/>
      <c r="AW243" s="386"/>
      <c r="AX243" s="384">
        <f t="shared" si="255"/>
        <v>0</v>
      </c>
      <c r="AY243" s="384"/>
      <c r="AZ243" s="384"/>
      <c r="BA243" s="384"/>
      <c r="BB243" s="386"/>
      <c r="BC243" s="384">
        <f t="shared" si="250"/>
        <v>0</v>
      </c>
      <c r="BD243" s="384"/>
      <c r="BE243" s="384"/>
      <c r="BF243" s="384"/>
      <c r="BG243" s="384">
        <f t="shared" si="248"/>
        <v>0</v>
      </c>
      <c r="BH243" s="384"/>
      <c r="BI243" s="384"/>
      <c r="BJ243" s="384"/>
      <c r="BK243" s="384"/>
      <c r="BL243" s="384">
        <f t="shared" si="190"/>
        <v>0</v>
      </c>
      <c r="BM243" s="384"/>
      <c r="BN243" s="384"/>
      <c r="BO243" s="384"/>
      <c r="BP243" s="384"/>
      <c r="BQ243" s="384">
        <f t="shared" si="249"/>
        <v>0</v>
      </c>
      <c r="BR243" s="384"/>
      <c r="BS243" s="384"/>
      <c r="BT243" s="384"/>
      <c r="BU243" s="386"/>
      <c r="BV243" s="384">
        <f t="shared" si="243"/>
        <v>0</v>
      </c>
    </row>
    <row r="244" spans="1:74" ht="36" customHeight="1" x14ac:dyDescent="0.25">
      <c r="A244" s="382" t="s">
        <v>249</v>
      </c>
      <c r="B244" s="388" t="s">
        <v>248</v>
      </c>
      <c r="C244" s="377">
        <v>226</v>
      </c>
      <c r="D244" s="390" t="s">
        <v>636</v>
      </c>
      <c r="E244" s="384">
        <f t="shared" si="251"/>
        <v>1239</v>
      </c>
      <c r="F244" s="384"/>
      <c r="G244" s="384"/>
      <c r="H244" s="384"/>
      <c r="I244" s="384">
        <v>1239</v>
      </c>
      <c r="J244" s="384">
        <f t="shared" si="239"/>
        <v>0</v>
      </c>
      <c r="K244" s="384"/>
      <c r="L244" s="384"/>
      <c r="M244" s="384"/>
      <c r="N244" s="384"/>
      <c r="O244" s="384">
        <f t="shared" si="230"/>
        <v>0</v>
      </c>
      <c r="P244" s="384"/>
      <c r="Q244" s="384"/>
      <c r="R244" s="384"/>
      <c r="S244" s="384"/>
      <c r="T244" s="384">
        <f t="shared" si="240"/>
        <v>1239</v>
      </c>
      <c r="U244" s="384"/>
      <c r="V244" s="384"/>
      <c r="W244" s="384"/>
      <c r="X244" s="384">
        <v>1239</v>
      </c>
      <c r="Y244" s="384">
        <f t="shared" si="241"/>
        <v>0</v>
      </c>
      <c r="Z244" s="384"/>
      <c r="AA244" s="384"/>
      <c r="AB244" s="384"/>
      <c r="AC244" s="386"/>
      <c r="AD244" s="384">
        <f t="shared" si="252"/>
        <v>0</v>
      </c>
      <c r="AE244" s="384"/>
      <c r="AF244" s="384"/>
      <c r="AG244" s="384"/>
      <c r="AH244" s="386"/>
      <c r="AI244" s="384">
        <f t="shared" si="253"/>
        <v>0</v>
      </c>
      <c r="AJ244" s="384"/>
      <c r="AK244" s="384"/>
      <c r="AL244" s="384"/>
      <c r="AM244" s="386"/>
      <c r="AN244" s="384">
        <v>0</v>
      </c>
      <c r="AO244" s="384"/>
      <c r="AP244" s="384"/>
      <c r="AQ244" s="384"/>
      <c r="AR244" s="386"/>
      <c r="AS244" s="384">
        <f t="shared" si="254"/>
        <v>0</v>
      </c>
      <c r="AT244" s="384"/>
      <c r="AU244" s="384"/>
      <c r="AV244" s="384"/>
      <c r="AW244" s="386"/>
      <c r="AX244" s="384">
        <f t="shared" si="255"/>
        <v>0</v>
      </c>
      <c r="AY244" s="384"/>
      <c r="AZ244" s="384"/>
      <c r="BA244" s="384"/>
      <c r="BB244" s="386"/>
      <c r="BC244" s="384">
        <f t="shared" si="250"/>
        <v>0</v>
      </c>
      <c r="BD244" s="384"/>
      <c r="BE244" s="384"/>
      <c r="BF244" s="384"/>
      <c r="BG244" s="384">
        <f t="shared" si="248"/>
        <v>0</v>
      </c>
      <c r="BH244" s="384"/>
      <c r="BI244" s="384"/>
      <c r="BJ244" s="384"/>
      <c r="BK244" s="384"/>
      <c r="BL244" s="384">
        <f t="shared" si="190"/>
        <v>0</v>
      </c>
      <c r="BM244" s="384"/>
      <c r="BN244" s="384"/>
      <c r="BO244" s="384"/>
      <c r="BP244" s="384"/>
      <c r="BQ244" s="384">
        <f t="shared" si="249"/>
        <v>0</v>
      </c>
      <c r="BR244" s="384"/>
      <c r="BS244" s="384"/>
      <c r="BT244" s="384"/>
      <c r="BU244" s="386"/>
      <c r="BV244" s="384">
        <f t="shared" si="243"/>
        <v>0</v>
      </c>
    </row>
    <row r="245" spans="1:74" ht="81" customHeight="1" x14ac:dyDescent="0.25">
      <c r="A245" s="382" t="s">
        <v>382</v>
      </c>
      <c r="B245" s="388" t="s">
        <v>455</v>
      </c>
      <c r="C245" s="377">
        <v>223</v>
      </c>
      <c r="D245" s="390" t="s">
        <v>671</v>
      </c>
      <c r="E245" s="384">
        <f>F245+G245+H245+I245</f>
        <v>0</v>
      </c>
      <c r="F245" s="384"/>
      <c r="G245" s="384"/>
      <c r="H245" s="384"/>
      <c r="I245" s="384">
        <v>0</v>
      </c>
      <c r="J245" s="384">
        <f t="shared" si="239"/>
        <v>0</v>
      </c>
      <c r="K245" s="384"/>
      <c r="L245" s="384"/>
      <c r="M245" s="384"/>
      <c r="N245" s="384"/>
      <c r="O245" s="384">
        <f>P245+Q245+R245+S245</f>
        <v>0</v>
      </c>
      <c r="P245" s="384"/>
      <c r="Q245" s="384"/>
      <c r="R245" s="384"/>
      <c r="S245" s="384"/>
      <c r="T245" s="384">
        <f t="shared" si="240"/>
        <v>0</v>
      </c>
      <c r="U245" s="384"/>
      <c r="V245" s="384"/>
      <c r="W245" s="384"/>
      <c r="X245" s="384"/>
      <c r="Y245" s="384">
        <f t="shared" si="241"/>
        <v>0</v>
      </c>
      <c r="Z245" s="384"/>
      <c r="AA245" s="384"/>
      <c r="AB245" s="384"/>
      <c r="AC245" s="386"/>
      <c r="AD245" s="384">
        <f>SUM(AE245:AH245)</f>
        <v>0</v>
      </c>
      <c r="AE245" s="384"/>
      <c r="AF245" s="384"/>
      <c r="AG245" s="384"/>
      <c r="AH245" s="386">
        <v>0</v>
      </c>
      <c r="AI245" s="384">
        <f>SUM(AJ245:AM245)</f>
        <v>0</v>
      </c>
      <c r="AJ245" s="384"/>
      <c r="AK245" s="384"/>
      <c r="AL245" s="384"/>
      <c r="AM245" s="386"/>
      <c r="AN245" s="384">
        <v>0</v>
      </c>
      <c r="AO245" s="384"/>
      <c r="AP245" s="384"/>
      <c r="AQ245" s="384"/>
      <c r="AR245" s="386"/>
      <c r="AS245" s="384">
        <f>SUM(AT245:AW245)</f>
        <v>0</v>
      </c>
      <c r="AT245" s="384"/>
      <c r="AU245" s="384"/>
      <c r="AV245" s="384"/>
      <c r="AW245" s="386"/>
      <c r="AX245" s="384">
        <f>SUM(AY245:BB245)</f>
        <v>0</v>
      </c>
      <c r="AY245" s="384"/>
      <c r="AZ245" s="384"/>
      <c r="BA245" s="384"/>
      <c r="BB245" s="386"/>
      <c r="BC245" s="384">
        <f t="shared" si="250"/>
        <v>0</v>
      </c>
      <c r="BD245" s="384"/>
      <c r="BE245" s="384"/>
      <c r="BF245" s="384"/>
      <c r="BG245" s="384">
        <f>SUM(BH245:BK245)</f>
        <v>0</v>
      </c>
      <c r="BH245" s="384"/>
      <c r="BI245" s="384"/>
      <c r="BJ245" s="384"/>
      <c r="BK245" s="384"/>
      <c r="BL245" s="384">
        <f t="shared" si="190"/>
        <v>0</v>
      </c>
      <c r="BM245" s="384"/>
      <c r="BN245" s="384"/>
      <c r="BO245" s="384"/>
      <c r="BP245" s="384"/>
      <c r="BQ245" s="384">
        <f>SUM(BR245:BU245)</f>
        <v>0</v>
      </c>
      <c r="BR245" s="384"/>
      <c r="BS245" s="384"/>
      <c r="BT245" s="384"/>
      <c r="BU245" s="386"/>
      <c r="BV245" s="384">
        <f t="shared" si="243"/>
        <v>0</v>
      </c>
    </row>
    <row r="246" spans="1:74" ht="88.15" customHeight="1" x14ac:dyDescent="0.25">
      <c r="A246" s="382" t="s">
        <v>383</v>
      </c>
      <c r="B246" s="388" t="s">
        <v>470</v>
      </c>
      <c r="C246" s="377">
        <v>226</v>
      </c>
      <c r="D246" s="390" t="s">
        <v>685</v>
      </c>
      <c r="E246" s="384">
        <f>F246+G246+H246+I246</f>
        <v>95590</v>
      </c>
      <c r="F246" s="384"/>
      <c r="G246" s="384"/>
      <c r="H246" s="384"/>
      <c r="I246" s="384">
        <v>95590</v>
      </c>
      <c r="J246" s="384">
        <f t="shared" si="239"/>
        <v>0</v>
      </c>
      <c r="K246" s="384"/>
      <c r="L246" s="384"/>
      <c r="M246" s="384"/>
      <c r="N246" s="384"/>
      <c r="O246" s="384">
        <f t="shared" ref="O246:O248" si="256">P246+Q246+R246+S246</f>
        <v>0</v>
      </c>
      <c r="P246" s="384"/>
      <c r="Q246" s="384"/>
      <c r="R246" s="384"/>
      <c r="S246" s="384"/>
      <c r="T246" s="384">
        <f t="shared" si="240"/>
        <v>0</v>
      </c>
      <c r="U246" s="384"/>
      <c r="V246" s="384"/>
      <c r="W246" s="384"/>
      <c r="X246" s="384"/>
      <c r="Y246" s="384">
        <f t="shared" si="241"/>
        <v>0</v>
      </c>
      <c r="Z246" s="384"/>
      <c r="AA246" s="384"/>
      <c r="AB246" s="384"/>
      <c r="AC246" s="386"/>
      <c r="AD246" s="384">
        <f t="shared" ref="AD246:AD248" si="257">SUM(AE246:AH246)</f>
        <v>0</v>
      </c>
      <c r="AE246" s="384"/>
      <c r="AF246" s="384"/>
      <c r="AG246" s="384"/>
      <c r="AH246" s="386"/>
      <c r="AI246" s="384">
        <f t="shared" ref="AI246:AI248" si="258">SUM(AJ246:AM246)</f>
        <v>95590</v>
      </c>
      <c r="AJ246" s="384"/>
      <c r="AK246" s="384"/>
      <c r="AL246" s="384"/>
      <c r="AM246" s="386">
        <v>95590</v>
      </c>
      <c r="AN246" s="384">
        <v>0</v>
      </c>
      <c r="AO246" s="384"/>
      <c r="AP246" s="384"/>
      <c r="AQ246" s="384"/>
      <c r="AR246" s="386"/>
      <c r="AS246" s="384">
        <f t="shared" ref="AS246:AS248" si="259">SUM(AT246:AW246)</f>
        <v>0</v>
      </c>
      <c r="AT246" s="384"/>
      <c r="AU246" s="384"/>
      <c r="AV246" s="384"/>
      <c r="AW246" s="386"/>
      <c r="AX246" s="384">
        <f t="shared" ref="AX246:AX248" si="260">SUM(AY246:BB246)</f>
        <v>0</v>
      </c>
      <c r="AY246" s="384"/>
      <c r="AZ246" s="384"/>
      <c r="BA246" s="384"/>
      <c r="BB246" s="386"/>
      <c r="BC246" s="384">
        <f t="shared" si="250"/>
        <v>0</v>
      </c>
      <c r="BD246" s="384"/>
      <c r="BE246" s="384"/>
      <c r="BF246" s="384"/>
      <c r="BG246" s="384">
        <f t="shared" ref="BG246:BG247" si="261">SUM(BH246:BK246)</f>
        <v>0</v>
      </c>
      <c r="BH246" s="384"/>
      <c r="BI246" s="384"/>
      <c r="BJ246" s="384"/>
      <c r="BK246" s="384"/>
      <c r="BL246" s="384">
        <f t="shared" si="190"/>
        <v>0</v>
      </c>
      <c r="BM246" s="384"/>
      <c r="BN246" s="384"/>
      <c r="BO246" s="384"/>
      <c r="BP246" s="384"/>
      <c r="BQ246" s="384">
        <f t="shared" ref="BQ246:BQ248" si="262">SUM(BR246:BU246)</f>
        <v>0</v>
      </c>
      <c r="BR246" s="384"/>
      <c r="BS246" s="384"/>
      <c r="BT246" s="384"/>
      <c r="BU246" s="386"/>
      <c r="BV246" s="384">
        <f t="shared" si="243"/>
        <v>0</v>
      </c>
    </row>
    <row r="247" spans="1:74" ht="45.6" customHeight="1" x14ac:dyDescent="0.25">
      <c r="A247" s="382" t="s">
        <v>384</v>
      </c>
      <c r="B247" s="388" t="s">
        <v>479</v>
      </c>
      <c r="C247" s="377">
        <v>226</v>
      </c>
      <c r="D247" s="390" t="s">
        <v>637</v>
      </c>
      <c r="E247" s="384">
        <v>70000</v>
      </c>
      <c r="F247" s="384"/>
      <c r="G247" s="384"/>
      <c r="H247" s="384"/>
      <c r="I247" s="384">
        <v>70000</v>
      </c>
      <c r="J247" s="384">
        <f t="shared" si="239"/>
        <v>0</v>
      </c>
      <c r="K247" s="384"/>
      <c r="L247" s="384"/>
      <c r="M247" s="384"/>
      <c r="N247" s="384"/>
      <c r="O247" s="384">
        <f t="shared" si="256"/>
        <v>0</v>
      </c>
      <c r="P247" s="384"/>
      <c r="Q247" s="384"/>
      <c r="R247" s="384"/>
      <c r="S247" s="384"/>
      <c r="T247" s="384">
        <f t="shared" si="240"/>
        <v>0</v>
      </c>
      <c r="U247" s="384"/>
      <c r="V247" s="384"/>
      <c r="W247" s="384"/>
      <c r="X247" s="384"/>
      <c r="Y247" s="384">
        <f t="shared" si="241"/>
        <v>0</v>
      </c>
      <c r="Z247" s="384"/>
      <c r="AA247" s="384"/>
      <c r="AB247" s="384"/>
      <c r="AC247" s="386"/>
      <c r="AD247" s="384">
        <f t="shared" si="257"/>
        <v>0</v>
      </c>
      <c r="AE247" s="384"/>
      <c r="AF247" s="384"/>
      <c r="AG247" s="384"/>
      <c r="AH247" s="386">
        <v>0</v>
      </c>
      <c r="AI247" s="384">
        <f t="shared" si="258"/>
        <v>70000</v>
      </c>
      <c r="AJ247" s="384"/>
      <c r="AK247" s="384"/>
      <c r="AL247" s="384"/>
      <c r="AM247" s="386">
        <v>70000</v>
      </c>
      <c r="AN247" s="384">
        <v>0</v>
      </c>
      <c r="AO247" s="384"/>
      <c r="AP247" s="384"/>
      <c r="AQ247" s="384"/>
      <c r="AR247" s="386"/>
      <c r="AS247" s="384">
        <f t="shared" si="259"/>
        <v>0</v>
      </c>
      <c r="AT247" s="384"/>
      <c r="AU247" s="384"/>
      <c r="AV247" s="384"/>
      <c r="AW247" s="386"/>
      <c r="AX247" s="384">
        <f t="shared" si="260"/>
        <v>0</v>
      </c>
      <c r="AY247" s="384"/>
      <c r="AZ247" s="384"/>
      <c r="BA247" s="384"/>
      <c r="BB247" s="386"/>
      <c r="BC247" s="384">
        <f t="shared" si="250"/>
        <v>0</v>
      </c>
      <c r="BD247" s="384"/>
      <c r="BE247" s="384"/>
      <c r="BF247" s="384"/>
      <c r="BG247" s="384">
        <f t="shared" si="261"/>
        <v>0</v>
      </c>
      <c r="BH247" s="384"/>
      <c r="BI247" s="384"/>
      <c r="BJ247" s="384"/>
      <c r="BK247" s="384"/>
      <c r="BL247" s="384">
        <f t="shared" ref="BL247:BL248" si="263">BM247+BN247+BO247+BP247</f>
        <v>0</v>
      </c>
      <c r="BM247" s="384"/>
      <c r="BN247" s="384"/>
      <c r="BO247" s="384"/>
      <c r="BP247" s="384"/>
      <c r="BQ247" s="384">
        <f t="shared" si="262"/>
        <v>0</v>
      </c>
      <c r="BR247" s="384"/>
      <c r="BS247" s="384"/>
      <c r="BT247" s="384"/>
      <c r="BU247" s="386"/>
      <c r="BV247" s="384">
        <f t="shared" si="243"/>
        <v>0</v>
      </c>
    </row>
    <row r="248" spans="1:74" ht="202.15" customHeight="1" x14ac:dyDescent="0.25">
      <c r="A248" s="382" t="s">
        <v>385</v>
      </c>
      <c r="B248" s="388" t="s">
        <v>488</v>
      </c>
      <c r="C248" s="377">
        <v>226</v>
      </c>
      <c r="D248" s="390" t="s">
        <v>714</v>
      </c>
      <c r="E248" s="384">
        <f>I248</f>
        <v>1029448.22</v>
      </c>
      <c r="F248" s="384"/>
      <c r="G248" s="384"/>
      <c r="H248" s="384"/>
      <c r="I248" s="384">
        <v>1029448.22</v>
      </c>
      <c r="J248" s="384">
        <f t="shared" si="239"/>
        <v>0</v>
      </c>
      <c r="K248" s="384"/>
      <c r="L248" s="384"/>
      <c r="M248" s="384"/>
      <c r="N248" s="384"/>
      <c r="O248" s="384">
        <f t="shared" si="256"/>
        <v>0</v>
      </c>
      <c r="P248" s="384"/>
      <c r="Q248" s="384"/>
      <c r="R248" s="384"/>
      <c r="S248" s="384"/>
      <c r="T248" s="384">
        <f t="shared" si="240"/>
        <v>0</v>
      </c>
      <c r="U248" s="384"/>
      <c r="V248" s="384"/>
      <c r="W248" s="384"/>
      <c r="X248" s="384"/>
      <c r="Y248" s="384">
        <f t="shared" si="241"/>
        <v>0</v>
      </c>
      <c r="Z248" s="384"/>
      <c r="AA248" s="384"/>
      <c r="AB248" s="384"/>
      <c r="AC248" s="386"/>
      <c r="AD248" s="384">
        <f t="shared" si="257"/>
        <v>0</v>
      </c>
      <c r="AE248" s="384"/>
      <c r="AF248" s="384"/>
      <c r="AG248" s="384"/>
      <c r="AH248" s="386">
        <v>0</v>
      </c>
      <c r="AI248" s="384">
        <f t="shared" si="258"/>
        <v>0</v>
      </c>
      <c r="AJ248" s="384"/>
      <c r="AK248" s="384"/>
      <c r="AL248" s="384"/>
      <c r="AM248" s="386">
        <v>0</v>
      </c>
      <c r="AN248" s="384">
        <v>0</v>
      </c>
      <c r="AO248" s="384"/>
      <c r="AP248" s="384"/>
      <c r="AQ248" s="384"/>
      <c r="AR248" s="386"/>
      <c r="AS248" s="384">
        <f t="shared" si="259"/>
        <v>1029448.22</v>
      </c>
      <c r="AT248" s="384"/>
      <c r="AU248" s="384"/>
      <c r="AV248" s="384"/>
      <c r="AW248" s="386">
        <f>260645.34+768802.88</f>
        <v>1029448.22</v>
      </c>
      <c r="AX248" s="384">
        <f t="shared" si="260"/>
        <v>0</v>
      </c>
      <c r="AY248" s="384"/>
      <c r="AZ248" s="384"/>
      <c r="BA248" s="384"/>
      <c r="BB248" s="386"/>
      <c r="BC248" s="384">
        <f t="shared" si="250"/>
        <v>0</v>
      </c>
      <c r="BD248" s="384"/>
      <c r="BE248" s="384"/>
      <c r="BF248" s="384"/>
      <c r="BG248" s="384">
        <f>SUM(BH248:BK248)</f>
        <v>0</v>
      </c>
      <c r="BH248" s="384"/>
      <c r="BI248" s="384"/>
      <c r="BJ248" s="384"/>
      <c r="BK248" s="384"/>
      <c r="BL248" s="384">
        <f t="shared" si="263"/>
        <v>0</v>
      </c>
      <c r="BM248" s="384"/>
      <c r="BN248" s="384"/>
      <c r="BO248" s="384"/>
      <c r="BP248" s="384"/>
      <c r="BQ248" s="384">
        <f t="shared" si="262"/>
        <v>0</v>
      </c>
      <c r="BR248" s="384"/>
      <c r="BS248" s="384"/>
      <c r="BT248" s="384"/>
      <c r="BU248" s="386"/>
      <c r="BV248" s="384">
        <f t="shared" si="243"/>
        <v>0</v>
      </c>
    </row>
    <row r="249" spans="1:74" ht="36" customHeight="1" x14ac:dyDescent="0.25">
      <c r="A249" s="382" t="s">
        <v>702</v>
      </c>
      <c r="B249" s="388" t="s">
        <v>451</v>
      </c>
      <c r="C249" s="377">
        <v>290</v>
      </c>
      <c r="D249" s="390"/>
      <c r="E249" s="384">
        <f>F249+G249+H249+I249</f>
        <v>70000</v>
      </c>
      <c r="F249" s="384"/>
      <c r="G249" s="384"/>
      <c r="H249" s="384"/>
      <c r="I249" s="384">
        <v>70000</v>
      </c>
      <c r="J249" s="384">
        <f>K249+L249+M249+N249</f>
        <v>0</v>
      </c>
      <c r="K249" s="384"/>
      <c r="L249" s="384"/>
      <c r="M249" s="384"/>
      <c r="N249" s="384"/>
      <c r="O249" s="384">
        <f>P249+Q249+R249+S249</f>
        <v>0</v>
      </c>
      <c r="P249" s="384"/>
      <c r="Q249" s="384"/>
      <c r="R249" s="384"/>
      <c r="S249" s="384"/>
      <c r="T249" s="384">
        <f>U249+V249+W249+X249</f>
        <v>0</v>
      </c>
      <c r="U249" s="384"/>
      <c r="V249" s="384"/>
      <c r="W249" s="384"/>
      <c r="X249" s="384"/>
      <c r="Y249" s="384">
        <f>Z249+AA249+AB249+AC249</f>
        <v>0</v>
      </c>
      <c r="Z249" s="384"/>
      <c r="AA249" s="384"/>
      <c r="AB249" s="384"/>
      <c r="AC249" s="386"/>
      <c r="AD249" s="384">
        <f>SUM(AE249:AH249)</f>
        <v>70000</v>
      </c>
      <c r="AE249" s="384"/>
      <c r="AF249" s="384"/>
      <c r="AG249" s="384"/>
      <c r="AH249" s="386">
        <v>70000</v>
      </c>
      <c r="AI249" s="384">
        <f>SUM(AJ249:AM249)</f>
        <v>0</v>
      </c>
      <c r="AJ249" s="384"/>
      <c r="AK249" s="384"/>
      <c r="AL249" s="384"/>
      <c r="AM249" s="386"/>
      <c r="AN249" s="384">
        <v>0</v>
      </c>
      <c r="AO249" s="384"/>
      <c r="AP249" s="384"/>
      <c r="AQ249" s="384"/>
      <c r="AR249" s="386"/>
      <c r="AS249" s="384">
        <f>SUM(AT249:AW249)</f>
        <v>0</v>
      </c>
      <c r="AT249" s="384"/>
      <c r="AU249" s="384"/>
      <c r="AV249" s="384"/>
      <c r="AW249" s="386"/>
      <c r="AX249" s="384">
        <f>SUM(AY249:BB249)</f>
        <v>0</v>
      </c>
      <c r="AY249" s="384"/>
      <c r="AZ249" s="384"/>
      <c r="BA249" s="384"/>
      <c r="BB249" s="386"/>
      <c r="BC249" s="384">
        <f t="shared" si="250"/>
        <v>0</v>
      </c>
      <c r="BD249" s="384"/>
      <c r="BE249" s="384"/>
      <c r="BF249" s="384"/>
      <c r="BG249" s="384">
        <f>SUM(BH249:BK249)</f>
        <v>0</v>
      </c>
      <c r="BH249" s="384"/>
      <c r="BI249" s="384"/>
      <c r="BJ249" s="384"/>
      <c r="BK249" s="384"/>
      <c r="BL249" s="384">
        <f>BM249+BN249+BO249+BP249</f>
        <v>0</v>
      </c>
      <c r="BM249" s="384"/>
      <c r="BN249" s="384"/>
      <c r="BO249" s="384"/>
      <c r="BP249" s="384"/>
      <c r="BQ249" s="384">
        <f>SUM(BR249:BU249)</f>
        <v>0</v>
      </c>
      <c r="BR249" s="384"/>
      <c r="BS249" s="384"/>
      <c r="BT249" s="384"/>
      <c r="BU249" s="386"/>
      <c r="BV249" s="384">
        <f t="shared" si="243"/>
        <v>0</v>
      </c>
    </row>
    <row r="250" spans="1:74" ht="85.9" customHeight="1" x14ac:dyDescent="0.25">
      <c r="A250" s="382" t="s">
        <v>701</v>
      </c>
      <c r="B250" s="383" t="s">
        <v>698</v>
      </c>
      <c r="C250" s="374">
        <v>226</v>
      </c>
      <c r="D250" s="387" t="s">
        <v>703</v>
      </c>
      <c r="E250" s="384">
        <f>F250+G250+H250+I250</f>
        <v>1408.45</v>
      </c>
      <c r="F250" s="384"/>
      <c r="G250" s="384"/>
      <c r="H250" s="384"/>
      <c r="I250" s="384">
        <v>1408.45</v>
      </c>
      <c r="J250" s="384">
        <f>K250+L250+M250+N250</f>
        <v>0</v>
      </c>
      <c r="K250" s="384"/>
      <c r="L250" s="384"/>
      <c r="M250" s="384"/>
      <c r="N250" s="384"/>
      <c r="O250" s="384">
        <f>P250+Q250+R250+S250</f>
        <v>0</v>
      </c>
      <c r="P250" s="384"/>
      <c r="Q250" s="384"/>
      <c r="R250" s="384"/>
      <c r="S250" s="384"/>
      <c r="T250" s="384">
        <f>U250+V250+W250+X250</f>
        <v>0</v>
      </c>
      <c r="U250" s="384"/>
      <c r="V250" s="384"/>
      <c r="W250" s="384"/>
      <c r="X250" s="384"/>
      <c r="Y250" s="384">
        <f>Z250+AA250+AB250+AC250</f>
        <v>0</v>
      </c>
      <c r="Z250" s="384"/>
      <c r="AA250" s="384"/>
      <c r="AB250" s="384"/>
      <c r="AC250" s="384"/>
      <c r="AD250" s="384">
        <f>SUM(AE250:AH250)</f>
        <v>0</v>
      </c>
      <c r="AE250" s="384"/>
      <c r="AF250" s="384"/>
      <c r="AG250" s="384"/>
      <c r="AH250" s="384"/>
      <c r="AI250" s="384">
        <f>SUM(AJ250:AM250)</f>
        <v>0</v>
      </c>
      <c r="AJ250" s="384"/>
      <c r="AK250" s="384"/>
      <c r="AL250" s="384"/>
      <c r="AM250" s="384"/>
      <c r="AN250" s="384">
        <v>1408.45</v>
      </c>
      <c r="AO250" s="384"/>
      <c r="AP250" s="384"/>
      <c r="AQ250" s="384"/>
      <c r="AR250" s="384">
        <v>1408.45</v>
      </c>
      <c r="AS250" s="384">
        <f>SUM(AT250:AW250)</f>
        <v>0</v>
      </c>
      <c r="AT250" s="384"/>
      <c r="AU250" s="384"/>
      <c r="AV250" s="384"/>
      <c r="AW250" s="384"/>
      <c r="AX250" s="384">
        <f>SUM(AY250:BB250)</f>
        <v>0</v>
      </c>
      <c r="AY250" s="384"/>
      <c r="AZ250" s="384"/>
      <c r="BA250" s="384"/>
      <c r="BB250" s="384"/>
      <c r="BC250" s="384">
        <f t="shared" si="250"/>
        <v>0</v>
      </c>
      <c r="BD250" s="384"/>
      <c r="BE250" s="384"/>
      <c r="BF250" s="384"/>
      <c r="BG250" s="384">
        <f>SUM(BH250:BK250)</f>
        <v>0</v>
      </c>
      <c r="BH250" s="384"/>
      <c r="BI250" s="384"/>
      <c r="BJ250" s="384"/>
      <c r="BK250" s="384"/>
      <c r="BL250" s="384">
        <f>BM250+BN250+BO250+BP250</f>
        <v>0</v>
      </c>
      <c r="BM250" s="384"/>
      <c r="BN250" s="384"/>
      <c r="BO250" s="384"/>
      <c r="BP250" s="384"/>
      <c r="BQ250" s="384">
        <f>SUM(BR250:BU250)</f>
        <v>0</v>
      </c>
      <c r="BR250" s="384"/>
      <c r="BS250" s="384"/>
      <c r="BT250" s="384"/>
      <c r="BU250" s="384"/>
      <c r="BV250" s="384">
        <f t="shared" si="243"/>
        <v>0</v>
      </c>
    </row>
    <row r="251" spans="1:74" ht="85.9" customHeight="1" x14ac:dyDescent="0.25">
      <c r="A251" s="382" t="s">
        <v>691</v>
      </c>
      <c r="B251" s="383" t="s">
        <v>488</v>
      </c>
      <c r="C251" s="374">
        <v>226</v>
      </c>
      <c r="D251" s="387" t="s">
        <v>731</v>
      </c>
      <c r="E251" s="384">
        <f>F251+G251+H251+I251</f>
        <v>0</v>
      </c>
      <c r="F251" s="384"/>
      <c r="G251" s="384"/>
      <c r="H251" s="384"/>
      <c r="I251" s="384">
        <v>0</v>
      </c>
      <c r="J251" s="384">
        <f>K251+L251+M251+N251</f>
        <v>0</v>
      </c>
      <c r="K251" s="384"/>
      <c r="L251" s="384"/>
      <c r="M251" s="384"/>
      <c r="N251" s="384"/>
      <c r="O251" s="384">
        <f>P251+Q251+R251+S251</f>
        <v>0</v>
      </c>
      <c r="P251" s="384"/>
      <c r="Q251" s="384"/>
      <c r="R251" s="384"/>
      <c r="S251" s="384"/>
      <c r="T251" s="384">
        <f>U251+V251+W251+X251</f>
        <v>0</v>
      </c>
      <c r="U251" s="384"/>
      <c r="V251" s="384"/>
      <c r="W251" s="384"/>
      <c r="X251" s="384"/>
      <c r="Y251" s="384">
        <f>Z251+AA251+AB251+AC251</f>
        <v>0</v>
      </c>
      <c r="Z251" s="384"/>
      <c r="AA251" s="384"/>
      <c r="AB251" s="384"/>
      <c r="AC251" s="384"/>
      <c r="AD251" s="384">
        <f>SUM(AE251:AH251)</f>
        <v>0</v>
      </c>
      <c r="AE251" s="384"/>
      <c r="AF251" s="384"/>
      <c r="AG251" s="384"/>
      <c r="AH251" s="384"/>
      <c r="AI251" s="384">
        <f>SUM(AJ251:AM251)</f>
        <v>0</v>
      </c>
      <c r="AJ251" s="384"/>
      <c r="AK251" s="384"/>
      <c r="AL251" s="384"/>
      <c r="AM251" s="384"/>
      <c r="AN251" s="384">
        <v>0</v>
      </c>
      <c r="AO251" s="384"/>
      <c r="AP251" s="384"/>
      <c r="AQ251" s="384"/>
      <c r="AR251" s="384">
        <v>0</v>
      </c>
      <c r="AS251" s="384">
        <f>SUM(AT251:AW251)</f>
        <v>0</v>
      </c>
      <c r="AT251" s="384"/>
      <c r="AU251" s="384"/>
      <c r="AV251" s="384"/>
      <c r="AW251" s="384"/>
      <c r="AX251" s="384">
        <f>SUM(AY251:BB251)</f>
        <v>0</v>
      </c>
      <c r="AY251" s="384"/>
      <c r="AZ251" s="384"/>
      <c r="BA251" s="384"/>
      <c r="BB251" s="384"/>
      <c r="BC251" s="384">
        <f t="shared" si="250"/>
        <v>0</v>
      </c>
      <c r="BD251" s="384"/>
      <c r="BE251" s="384"/>
      <c r="BF251" s="384"/>
      <c r="BG251" s="384">
        <f>SUM(BH251:BK251)</f>
        <v>0</v>
      </c>
      <c r="BH251" s="384"/>
      <c r="BI251" s="384"/>
      <c r="BJ251" s="384"/>
      <c r="BK251" s="384"/>
      <c r="BL251" s="384">
        <f>BM251+BN251+BO251+BP251</f>
        <v>0</v>
      </c>
      <c r="BM251" s="384"/>
      <c r="BN251" s="384"/>
      <c r="BO251" s="384"/>
      <c r="BP251" s="384"/>
      <c r="BQ251" s="384">
        <f>SUM(BR251:BU251)</f>
        <v>0</v>
      </c>
      <c r="BR251" s="384"/>
      <c r="BS251" s="384"/>
      <c r="BT251" s="384"/>
      <c r="BU251" s="384"/>
      <c r="BV251" s="384">
        <f t="shared" si="243"/>
        <v>0</v>
      </c>
    </row>
    <row r="252" spans="1:74" ht="85.9" customHeight="1" x14ac:dyDescent="0.25">
      <c r="A252" s="382" t="s">
        <v>690</v>
      </c>
      <c r="B252" s="383" t="s">
        <v>708</v>
      </c>
      <c r="C252" s="374">
        <v>226</v>
      </c>
      <c r="D252" s="387" t="s">
        <v>718</v>
      </c>
      <c r="E252" s="384">
        <f>F252+G252+H252+I252</f>
        <v>2058.9</v>
      </c>
      <c r="F252" s="384"/>
      <c r="G252" s="384"/>
      <c r="H252" s="384"/>
      <c r="I252" s="384">
        <v>2058.9</v>
      </c>
      <c r="J252" s="384">
        <v>0</v>
      </c>
      <c r="K252" s="384"/>
      <c r="L252" s="384"/>
      <c r="M252" s="384"/>
      <c r="N252" s="384"/>
      <c r="O252" s="384">
        <v>0</v>
      </c>
      <c r="P252" s="384"/>
      <c r="Q252" s="384"/>
      <c r="R252" s="384"/>
      <c r="S252" s="384"/>
      <c r="T252" s="384">
        <v>0</v>
      </c>
      <c r="U252" s="384"/>
      <c r="V252" s="384"/>
      <c r="W252" s="384"/>
      <c r="X252" s="384"/>
      <c r="Y252" s="384">
        <v>0</v>
      </c>
      <c r="Z252" s="384"/>
      <c r="AA252" s="384"/>
      <c r="AB252" s="384"/>
      <c r="AC252" s="384"/>
      <c r="AD252" s="384">
        <v>0</v>
      </c>
      <c r="AE252" s="384"/>
      <c r="AF252" s="384"/>
      <c r="AG252" s="384"/>
      <c r="AH252" s="384"/>
      <c r="AI252" s="384">
        <v>0</v>
      </c>
      <c r="AJ252" s="384"/>
      <c r="AK252" s="384"/>
      <c r="AL252" s="384"/>
      <c r="AM252" s="384"/>
      <c r="AN252" s="384">
        <v>0</v>
      </c>
      <c r="AO252" s="384"/>
      <c r="AP252" s="384"/>
      <c r="AQ252" s="384"/>
      <c r="AR252" s="384">
        <v>0</v>
      </c>
      <c r="AS252" s="384">
        <f>SUM(AT252:AW252)</f>
        <v>2058.9</v>
      </c>
      <c r="AT252" s="384"/>
      <c r="AU252" s="384"/>
      <c r="AV252" s="384"/>
      <c r="AW252" s="384">
        <v>2058.9</v>
      </c>
      <c r="AX252" s="384">
        <f>SUM(AY252:BB252)</f>
        <v>0</v>
      </c>
      <c r="AY252" s="384"/>
      <c r="AZ252" s="384"/>
      <c r="BA252" s="384"/>
      <c r="BB252" s="384"/>
      <c r="BC252" s="384">
        <f t="shared" si="250"/>
        <v>0</v>
      </c>
      <c r="BD252" s="384"/>
      <c r="BE252" s="384"/>
      <c r="BF252" s="384"/>
      <c r="BG252" s="384">
        <f>SUM(BH252:BK252)</f>
        <v>0</v>
      </c>
      <c r="BH252" s="384"/>
      <c r="BI252" s="384"/>
      <c r="BJ252" s="384"/>
      <c r="BK252" s="384"/>
      <c r="BL252" s="384">
        <f>BM252+BN252+BO252+BP252</f>
        <v>0</v>
      </c>
      <c r="BM252" s="384"/>
      <c r="BN252" s="384"/>
      <c r="BO252" s="384"/>
      <c r="BP252" s="384"/>
      <c r="BQ252" s="384">
        <f>SUM(BR252:BU252)</f>
        <v>0</v>
      </c>
      <c r="BR252" s="384"/>
      <c r="BS252" s="384"/>
      <c r="BT252" s="384"/>
      <c r="BU252" s="384"/>
      <c r="BV252" s="384">
        <f t="shared" si="243"/>
        <v>0</v>
      </c>
    </row>
    <row r="253" spans="1:74" ht="115.5" customHeight="1" x14ac:dyDescent="0.25">
      <c r="A253" s="382" t="s">
        <v>689</v>
      </c>
      <c r="B253" s="383" t="s">
        <v>764</v>
      </c>
      <c r="C253" s="374">
        <v>226</v>
      </c>
      <c r="D253" s="387" t="s">
        <v>738</v>
      </c>
      <c r="E253" s="384">
        <f t="shared" ref="E253:E254" si="264">F253+G253+H253+I253</f>
        <v>44697.14</v>
      </c>
      <c r="F253" s="384"/>
      <c r="G253" s="384"/>
      <c r="H253" s="384"/>
      <c r="I253" s="384">
        <v>44697.14</v>
      </c>
      <c r="J253" s="384">
        <v>0</v>
      </c>
      <c r="K253" s="384"/>
      <c r="L253" s="384"/>
      <c r="M253" s="384"/>
      <c r="N253" s="384"/>
      <c r="O253" s="384">
        <v>0</v>
      </c>
      <c r="P253" s="384"/>
      <c r="Q253" s="384"/>
      <c r="R253" s="384"/>
      <c r="S253" s="384"/>
      <c r="T253" s="384">
        <v>0</v>
      </c>
      <c r="U253" s="384"/>
      <c r="V253" s="384"/>
      <c r="W253" s="384"/>
      <c r="X253" s="384"/>
      <c r="Y253" s="384">
        <v>0</v>
      </c>
      <c r="Z253" s="384"/>
      <c r="AA253" s="384"/>
      <c r="AB253" s="384"/>
      <c r="AC253" s="386"/>
      <c r="AD253" s="384">
        <v>0</v>
      </c>
      <c r="AE253" s="384"/>
      <c r="AF253" s="384"/>
      <c r="AG253" s="384"/>
      <c r="AH253" s="386"/>
      <c r="AI253" s="384">
        <v>0</v>
      </c>
      <c r="AJ253" s="384"/>
      <c r="AK253" s="384"/>
      <c r="AL253" s="384"/>
      <c r="AM253" s="386"/>
      <c r="AN253" s="384">
        <v>0</v>
      </c>
      <c r="AO253" s="384"/>
      <c r="AP253" s="384"/>
      <c r="AQ253" s="384"/>
      <c r="AR253" s="386">
        <v>0</v>
      </c>
      <c r="AS253" s="384">
        <f t="shared" ref="AS253:AS254" si="265">SUM(AT253:AW253)</f>
        <v>44697.14</v>
      </c>
      <c r="AT253" s="384"/>
      <c r="AU253" s="384"/>
      <c r="AV253" s="384"/>
      <c r="AW253" s="386">
        <v>44697.14</v>
      </c>
      <c r="AX253" s="384">
        <f t="shared" ref="AX253:AX254" si="266">SUM(AY253:BB253)</f>
        <v>0</v>
      </c>
      <c r="AY253" s="384"/>
      <c r="AZ253" s="384"/>
      <c r="BA253" s="384"/>
      <c r="BB253" s="386"/>
      <c r="BC253" s="384">
        <f t="shared" si="250"/>
        <v>0</v>
      </c>
      <c r="BD253" s="384"/>
      <c r="BE253" s="384"/>
      <c r="BF253" s="384"/>
      <c r="BG253" s="384">
        <f t="shared" ref="BG253:BG254" si="267">SUM(BH253:BK253)</f>
        <v>0</v>
      </c>
      <c r="BH253" s="384"/>
      <c r="BI253" s="384"/>
      <c r="BJ253" s="384"/>
      <c r="BK253" s="384"/>
      <c r="BL253" s="384">
        <f t="shared" ref="BL253:BL254" si="268">BM253+BN253+BO253+BP253</f>
        <v>0</v>
      </c>
      <c r="BM253" s="384"/>
      <c r="BN253" s="384"/>
      <c r="BO253" s="384"/>
      <c r="BP253" s="384"/>
      <c r="BQ253" s="384">
        <f t="shared" ref="BQ253:BQ254" si="269">SUM(BR253:BU253)</f>
        <v>0</v>
      </c>
      <c r="BR253" s="384"/>
      <c r="BS253" s="384"/>
      <c r="BT253" s="384"/>
      <c r="BU253" s="386"/>
      <c r="BV253" s="384">
        <f t="shared" si="243"/>
        <v>0</v>
      </c>
    </row>
    <row r="254" spans="1:74" ht="115.5" customHeight="1" x14ac:dyDescent="0.25">
      <c r="A254" s="382" t="s">
        <v>688</v>
      </c>
      <c r="B254" s="383" t="s">
        <v>765</v>
      </c>
      <c r="C254" s="374">
        <v>226</v>
      </c>
      <c r="D254" s="387" t="s">
        <v>739</v>
      </c>
      <c r="E254" s="384">
        <f t="shared" si="264"/>
        <v>68615.17</v>
      </c>
      <c r="F254" s="384"/>
      <c r="G254" s="384"/>
      <c r="H254" s="384"/>
      <c r="I254" s="384">
        <v>68615.17</v>
      </c>
      <c r="J254" s="384">
        <v>0</v>
      </c>
      <c r="K254" s="384"/>
      <c r="L254" s="384"/>
      <c r="M254" s="384"/>
      <c r="N254" s="384"/>
      <c r="O254" s="384">
        <v>0</v>
      </c>
      <c r="P254" s="384"/>
      <c r="Q254" s="384"/>
      <c r="R254" s="384"/>
      <c r="S254" s="384"/>
      <c r="T254" s="384">
        <v>0</v>
      </c>
      <c r="U254" s="384"/>
      <c r="V254" s="384"/>
      <c r="W254" s="384"/>
      <c r="X254" s="384"/>
      <c r="Y254" s="384">
        <v>0</v>
      </c>
      <c r="Z254" s="384"/>
      <c r="AA254" s="384"/>
      <c r="AB254" s="384"/>
      <c r="AC254" s="386"/>
      <c r="AD254" s="384">
        <v>0</v>
      </c>
      <c r="AE254" s="384"/>
      <c r="AF254" s="384"/>
      <c r="AG254" s="384"/>
      <c r="AH254" s="386"/>
      <c r="AI254" s="384">
        <v>0</v>
      </c>
      <c r="AJ254" s="384"/>
      <c r="AK254" s="384"/>
      <c r="AL254" s="384"/>
      <c r="AM254" s="386"/>
      <c r="AN254" s="384">
        <v>0</v>
      </c>
      <c r="AO254" s="384"/>
      <c r="AP254" s="384"/>
      <c r="AQ254" s="384"/>
      <c r="AR254" s="386">
        <v>0</v>
      </c>
      <c r="AS254" s="384">
        <f t="shared" si="265"/>
        <v>68615.17</v>
      </c>
      <c r="AT254" s="384"/>
      <c r="AU254" s="384"/>
      <c r="AV254" s="384"/>
      <c r="AW254" s="386">
        <v>68615.17</v>
      </c>
      <c r="AX254" s="384">
        <f t="shared" si="266"/>
        <v>0</v>
      </c>
      <c r="AY254" s="384"/>
      <c r="AZ254" s="384"/>
      <c r="BA254" s="384"/>
      <c r="BB254" s="386"/>
      <c r="BC254" s="384">
        <f t="shared" si="250"/>
        <v>0</v>
      </c>
      <c r="BD254" s="384"/>
      <c r="BE254" s="384"/>
      <c r="BF254" s="384"/>
      <c r="BG254" s="384">
        <f t="shared" si="267"/>
        <v>0</v>
      </c>
      <c r="BH254" s="384"/>
      <c r="BI254" s="384"/>
      <c r="BJ254" s="384"/>
      <c r="BK254" s="384"/>
      <c r="BL254" s="384">
        <f t="shared" si="268"/>
        <v>0</v>
      </c>
      <c r="BM254" s="384"/>
      <c r="BN254" s="384"/>
      <c r="BO254" s="384"/>
      <c r="BP254" s="384"/>
      <c r="BQ254" s="384">
        <f t="shared" si="269"/>
        <v>0</v>
      </c>
      <c r="BR254" s="384"/>
      <c r="BS254" s="384"/>
      <c r="BT254" s="384"/>
      <c r="BU254" s="386"/>
      <c r="BV254" s="384">
        <f t="shared" si="243"/>
        <v>0</v>
      </c>
    </row>
    <row r="255" spans="1:74" ht="21.6" customHeight="1" x14ac:dyDescent="0.25">
      <c r="A255" s="408" t="s">
        <v>17</v>
      </c>
      <c r="B255" s="409"/>
      <c r="C255" s="374"/>
      <c r="D255" s="420"/>
      <c r="E255" s="384">
        <f>E209+E227</f>
        <v>136185731</v>
      </c>
      <c r="F255" s="384">
        <f t="shared" ref="F255:BD255" si="270">F209+F227</f>
        <v>49921583.329999998</v>
      </c>
      <c r="G255" s="384">
        <f t="shared" si="270"/>
        <v>23297616.98</v>
      </c>
      <c r="H255" s="384">
        <f t="shared" si="270"/>
        <v>10493296.689999999</v>
      </c>
      <c r="I255" s="384">
        <f t="shared" si="270"/>
        <v>52473234</v>
      </c>
      <c r="J255" s="384">
        <f t="shared" si="270"/>
        <v>0</v>
      </c>
      <c r="K255" s="384">
        <f t="shared" si="270"/>
        <v>0</v>
      </c>
      <c r="L255" s="384">
        <f t="shared" si="270"/>
        <v>0</v>
      </c>
      <c r="M255" s="384">
        <f t="shared" si="270"/>
        <v>0</v>
      </c>
      <c r="N255" s="384">
        <f t="shared" si="270"/>
        <v>0</v>
      </c>
      <c r="O255" s="384">
        <f t="shared" si="270"/>
        <v>4079393.21</v>
      </c>
      <c r="P255" s="384">
        <f t="shared" si="270"/>
        <v>0</v>
      </c>
      <c r="Q255" s="384">
        <f t="shared" si="270"/>
        <v>0</v>
      </c>
      <c r="R255" s="384">
        <f t="shared" si="270"/>
        <v>0</v>
      </c>
      <c r="S255" s="384">
        <f t="shared" si="270"/>
        <v>4079393.21</v>
      </c>
      <c r="T255" s="384">
        <f t="shared" si="270"/>
        <v>81009803.819999978</v>
      </c>
      <c r="U255" s="384">
        <f t="shared" si="270"/>
        <v>44836124.769999996</v>
      </c>
      <c r="V255" s="384">
        <f t="shared" si="270"/>
        <v>20919526.530000001</v>
      </c>
      <c r="W255" s="384">
        <f t="shared" si="270"/>
        <v>9409581.4499999993</v>
      </c>
      <c r="X255" s="384">
        <f t="shared" si="270"/>
        <v>5844571.0700000003</v>
      </c>
      <c r="Y255" s="384">
        <f t="shared" si="270"/>
        <v>37698233.740000002</v>
      </c>
      <c r="Z255" s="384">
        <f t="shared" si="270"/>
        <v>5085458.5599999996</v>
      </c>
      <c r="AA255" s="384">
        <f t="shared" si="270"/>
        <v>2378090.4500000002</v>
      </c>
      <c r="AB255" s="384">
        <f t="shared" si="270"/>
        <v>1083715.24</v>
      </c>
      <c r="AC255" s="384">
        <f t="shared" si="270"/>
        <v>29150969.489999998</v>
      </c>
      <c r="AD255" s="384">
        <f t="shared" si="270"/>
        <v>3317712.42</v>
      </c>
      <c r="AE255" s="384">
        <f t="shared" si="270"/>
        <v>0</v>
      </c>
      <c r="AF255" s="384">
        <f t="shared" si="270"/>
        <v>0</v>
      </c>
      <c r="AG255" s="384">
        <f t="shared" si="270"/>
        <v>0</v>
      </c>
      <c r="AH255" s="384">
        <f t="shared" si="270"/>
        <v>3317712.42</v>
      </c>
      <c r="AI255" s="384">
        <f t="shared" si="270"/>
        <v>8004998.5</v>
      </c>
      <c r="AJ255" s="384">
        <f t="shared" si="270"/>
        <v>0</v>
      </c>
      <c r="AK255" s="384">
        <f t="shared" si="270"/>
        <v>0</v>
      </c>
      <c r="AL255" s="384">
        <f t="shared" si="270"/>
        <v>0</v>
      </c>
      <c r="AM255" s="384">
        <f t="shared" si="270"/>
        <v>8004998.5</v>
      </c>
      <c r="AN255" s="384">
        <f t="shared" si="270"/>
        <v>57208.45</v>
      </c>
      <c r="AO255" s="384">
        <f t="shared" si="270"/>
        <v>0</v>
      </c>
      <c r="AP255" s="384">
        <f t="shared" si="270"/>
        <v>0</v>
      </c>
      <c r="AQ255" s="384">
        <f t="shared" si="270"/>
        <v>0</v>
      </c>
      <c r="AR255" s="384">
        <f t="shared" si="270"/>
        <v>57208.45</v>
      </c>
      <c r="AS255" s="384">
        <f t="shared" si="270"/>
        <v>1985550.5699999998</v>
      </c>
      <c r="AT255" s="384">
        <f t="shared" si="270"/>
        <v>0</v>
      </c>
      <c r="AU255" s="384">
        <f t="shared" si="270"/>
        <v>0</v>
      </c>
      <c r="AV255" s="384">
        <f t="shared" si="270"/>
        <v>0</v>
      </c>
      <c r="AW255" s="384">
        <f t="shared" si="270"/>
        <v>1985550.5699999998</v>
      </c>
      <c r="AX255" s="384">
        <f t="shared" si="270"/>
        <v>0</v>
      </c>
      <c r="AY255" s="384">
        <f t="shared" si="270"/>
        <v>0</v>
      </c>
      <c r="AZ255" s="384">
        <f t="shared" si="270"/>
        <v>0</v>
      </c>
      <c r="BA255" s="384">
        <f t="shared" si="270"/>
        <v>0</v>
      </c>
      <c r="BB255" s="386">
        <f t="shared" si="270"/>
        <v>0</v>
      </c>
      <c r="BC255" s="384">
        <f t="shared" si="270"/>
        <v>32830.289999999521</v>
      </c>
      <c r="BD255" s="384">
        <f t="shared" si="270"/>
        <v>2273.1999999999998</v>
      </c>
      <c r="BE255" s="384">
        <f>BE209+BE227</f>
        <v>2422.6000000000004</v>
      </c>
      <c r="BF255" s="384">
        <f>BF209+BF227</f>
        <v>2695.8</v>
      </c>
      <c r="BG255" s="384">
        <f t="shared" ref="BG255:BU255" si="271">BG209+BG227</f>
        <v>0</v>
      </c>
      <c r="BH255" s="384">
        <f t="shared" si="271"/>
        <v>0</v>
      </c>
      <c r="BI255" s="384">
        <f t="shared" si="271"/>
        <v>0</v>
      </c>
      <c r="BJ255" s="384">
        <f t="shared" si="271"/>
        <v>0</v>
      </c>
      <c r="BK255" s="384">
        <f t="shared" si="271"/>
        <v>0</v>
      </c>
      <c r="BL255" s="384">
        <f t="shared" si="271"/>
        <v>32830.290000000015</v>
      </c>
      <c r="BM255" s="384">
        <f t="shared" si="271"/>
        <v>0</v>
      </c>
      <c r="BN255" s="384">
        <f t="shared" si="271"/>
        <v>0</v>
      </c>
      <c r="BO255" s="384">
        <f t="shared" si="271"/>
        <v>0</v>
      </c>
      <c r="BP255" s="384">
        <f t="shared" si="271"/>
        <v>32830.290000000015</v>
      </c>
      <c r="BQ255" s="384">
        <f t="shared" si="271"/>
        <v>0</v>
      </c>
      <c r="BR255" s="384">
        <f t="shared" si="271"/>
        <v>0</v>
      </c>
      <c r="BS255" s="384">
        <f t="shared" si="271"/>
        <v>0</v>
      </c>
      <c r="BT255" s="384">
        <f t="shared" si="271"/>
        <v>0</v>
      </c>
      <c r="BU255" s="386">
        <f t="shared" si="271"/>
        <v>0</v>
      </c>
      <c r="BV255" s="384">
        <f>BV209+BV227</f>
        <v>32830.289999999521</v>
      </c>
    </row>
    <row r="256" spans="1:74" ht="21.6" customHeight="1" x14ac:dyDescent="0.25">
      <c r="A256" s="408" t="s">
        <v>195</v>
      </c>
      <c r="B256" s="409"/>
      <c r="C256" s="374">
        <v>310</v>
      </c>
      <c r="D256" s="420"/>
      <c r="E256" s="384">
        <f t="shared" ref="E256:BD256" si="272">E229+E210</f>
        <v>118305478.25</v>
      </c>
      <c r="F256" s="384">
        <f t="shared" si="272"/>
        <v>47799030.420000002</v>
      </c>
      <c r="G256" s="384">
        <f t="shared" si="272"/>
        <v>22367690.850000001</v>
      </c>
      <c r="H256" s="384">
        <f t="shared" si="272"/>
        <v>10234288.73</v>
      </c>
      <c r="I256" s="384">
        <f t="shared" si="272"/>
        <v>37904468.25</v>
      </c>
      <c r="J256" s="384">
        <f t="shared" si="272"/>
        <v>0</v>
      </c>
      <c r="K256" s="384">
        <f t="shared" si="272"/>
        <v>0</v>
      </c>
      <c r="L256" s="384">
        <f t="shared" si="272"/>
        <v>0</v>
      </c>
      <c r="M256" s="384">
        <f t="shared" si="272"/>
        <v>0</v>
      </c>
      <c r="N256" s="384">
        <f t="shared" si="272"/>
        <v>0</v>
      </c>
      <c r="O256" s="384">
        <f t="shared" si="272"/>
        <v>0</v>
      </c>
      <c r="P256" s="384">
        <f t="shared" si="272"/>
        <v>0</v>
      </c>
      <c r="Q256" s="384">
        <f t="shared" si="272"/>
        <v>0</v>
      </c>
      <c r="R256" s="384">
        <f t="shared" si="272"/>
        <v>0</v>
      </c>
      <c r="S256" s="384">
        <f t="shared" si="272"/>
        <v>0</v>
      </c>
      <c r="T256" s="384">
        <f t="shared" si="272"/>
        <v>71940769.280000001</v>
      </c>
      <c r="U256" s="384">
        <f t="shared" si="272"/>
        <v>42769351.039999999</v>
      </c>
      <c r="V256" s="384">
        <f t="shared" si="272"/>
        <v>20014038.199999999</v>
      </c>
      <c r="W256" s="384">
        <f t="shared" si="272"/>
        <v>9157380.0399999991</v>
      </c>
      <c r="X256" s="384">
        <f t="shared" si="272"/>
        <v>0</v>
      </c>
      <c r="Y256" s="384">
        <f t="shared" si="272"/>
        <v>35853023.810000002</v>
      </c>
      <c r="Z256" s="384">
        <f t="shared" si="272"/>
        <v>5029679.38</v>
      </c>
      <c r="AA256" s="384">
        <f t="shared" si="272"/>
        <v>2353652.65</v>
      </c>
      <c r="AB256" s="384">
        <f t="shared" si="272"/>
        <v>1076908.69</v>
      </c>
      <c r="AC256" s="384">
        <f t="shared" si="272"/>
        <v>27392783.089999996</v>
      </c>
      <c r="AD256" s="384">
        <f t="shared" si="272"/>
        <v>2672276.66</v>
      </c>
      <c r="AE256" s="384">
        <f t="shared" si="272"/>
        <v>0</v>
      </c>
      <c r="AF256" s="384">
        <f t="shared" si="272"/>
        <v>0</v>
      </c>
      <c r="AG256" s="384">
        <f t="shared" si="272"/>
        <v>0</v>
      </c>
      <c r="AH256" s="384">
        <f t="shared" si="272"/>
        <v>2672276.66</v>
      </c>
      <c r="AI256" s="384">
        <f t="shared" si="272"/>
        <v>7839408.5</v>
      </c>
      <c r="AJ256" s="384">
        <f t="shared" si="272"/>
        <v>0</v>
      </c>
      <c r="AK256" s="384">
        <f t="shared" si="272"/>
        <v>0</v>
      </c>
      <c r="AL256" s="384">
        <f t="shared" si="272"/>
        <v>0</v>
      </c>
      <c r="AM256" s="384">
        <f t="shared" si="272"/>
        <v>7839408.5</v>
      </c>
      <c r="AN256" s="384">
        <f t="shared" si="272"/>
        <v>0</v>
      </c>
      <c r="AO256" s="384">
        <f t="shared" si="272"/>
        <v>0</v>
      </c>
      <c r="AP256" s="384">
        <f t="shared" si="272"/>
        <v>0</v>
      </c>
      <c r="AQ256" s="384">
        <f t="shared" si="272"/>
        <v>0</v>
      </c>
      <c r="AR256" s="384">
        <f t="shared" si="272"/>
        <v>0</v>
      </c>
      <c r="AS256" s="384">
        <f t="shared" si="272"/>
        <v>0</v>
      </c>
      <c r="AT256" s="384">
        <f t="shared" si="272"/>
        <v>0</v>
      </c>
      <c r="AU256" s="384">
        <f t="shared" si="272"/>
        <v>0</v>
      </c>
      <c r="AV256" s="384">
        <f t="shared" si="272"/>
        <v>0</v>
      </c>
      <c r="AW256" s="384">
        <f t="shared" si="272"/>
        <v>0</v>
      </c>
      <c r="AX256" s="384">
        <f t="shared" si="272"/>
        <v>0</v>
      </c>
      <c r="AY256" s="384">
        <f t="shared" si="272"/>
        <v>0</v>
      </c>
      <c r="AZ256" s="384">
        <f t="shared" si="272"/>
        <v>0</v>
      </c>
      <c r="BA256" s="384">
        <f t="shared" si="272"/>
        <v>0</v>
      </c>
      <c r="BB256" s="384">
        <f t="shared" si="272"/>
        <v>0</v>
      </c>
      <c r="BC256" s="384">
        <f t="shared" si="272"/>
        <v>-2.3283064365386963E-10</v>
      </c>
      <c r="BD256" s="384">
        <f t="shared" si="272"/>
        <v>2182.3000000000002</v>
      </c>
      <c r="BE256" s="384">
        <f>BE229+BE210</f>
        <v>2327.4</v>
      </c>
      <c r="BF256" s="384">
        <f>BF229+BF210</f>
        <v>2589.8900000000003</v>
      </c>
      <c r="BG256" s="384">
        <f t="shared" ref="BG256:BV256" si="273">BG229+BG210</f>
        <v>0</v>
      </c>
      <c r="BH256" s="384">
        <f t="shared" si="273"/>
        <v>0</v>
      </c>
      <c r="BI256" s="384">
        <f t="shared" si="273"/>
        <v>0</v>
      </c>
      <c r="BJ256" s="384">
        <f t="shared" si="273"/>
        <v>0</v>
      </c>
      <c r="BK256" s="384">
        <f t="shared" si="273"/>
        <v>0</v>
      </c>
      <c r="BL256" s="384">
        <f t="shared" si="273"/>
        <v>0</v>
      </c>
      <c r="BM256" s="384">
        <f t="shared" si="273"/>
        <v>0</v>
      </c>
      <c r="BN256" s="384">
        <f t="shared" si="273"/>
        <v>0</v>
      </c>
      <c r="BO256" s="384">
        <f t="shared" si="273"/>
        <v>0</v>
      </c>
      <c r="BP256" s="384">
        <f t="shared" si="273"/>
        <v>0</v>
      </c>
      <c r="BQ256" s="384">
        <f t="shared" si="273"/>
        <v>0</v>
      </c>
      <c r="BR256" s="384">
        <f t="shared" si="273"/>
        <v>0</v>
      </c>
      <c r="BS256" s="384">
        <f t="shared" si="273"/>
        <v>0</v>
      </c>
      <c r="BT256" s="384">
        <f t="shared" si="273"/>
        <v>0</v>
      </c>
      <c r="BU256" s="384">
        <f t="shared" si="273"/>
        <v>0</v>
      </c>
      <c r="BV256" s="384">
        <f t="shared" si="273"/>
        <v>-2.3283064365386963E-10</v>
      </c>
    </row>
    <row r="257" spans="1:99" ht="21.6" customHeight="1" x14ac:dyDescent="0.25">
      <c r="A257" s="408" t="s">
        <v>195</v>
      </c>
      <c r="B257" s="409"/>
      <c r="C257" s="374" t="s">
        <v>236</v>
      </c>
      <c r="D257" s="420"/>
      <c r="E257" s="384">
        <f t="shared" ref="E257:BC257" si="274">SUM(E211:E226)+SUM(E231:E248)+E250-E258-E259+E251+E252+E253+E254</f>
        <v>14300183.75</v>
      </c>
      <c r="F257" s="384">
        <f t="shared" si="274"/>
        <v>0</v>
      </c>
      <c r="G257" s="384">
        <f t="shared" si="274"/>
        <v>0</v>
      </c>
      <c r="H257" s="384">
        <f t="shared" si="274"/>
        <v>0</v>
      </c>
      <c r="I257" s="384">
        <f t="shared" si="274"/>
        <v>14300183.75</v>
      </c>
      <c r="J257" s="384">
        <f t="shared" si="274"/>
        <v>0</v>
      </c>
      <c r="K257" s="384">
        <f t="shared" si="274"/>
        <v>0</v>
      </c>
      <c r="L257" s="384">
        <f t="shared" si="274"/>
        <v>0</v>
      </c>
      <c r="M257" s="384">
        <f t="shared" si="274"/>
        <v>0</v>
      </c>
      <c r="N257" s="384">
        <f t="shared" si="274"/>
        <v>0</v>
      </c>
      <c r="O257" s="384">
        <f t="shared" si="274"/>
        <v>4079393.21</v>
      </c>
      <c r="P257" s="384">
        <f t="shared" si="274"/>
        <v>0</v>
      </c>
      <c r="Q257" s="384">
        <f t="shared" si="274"/>
        <v>0</v>
      </c>
      <c r="R257" s="384">
        <f t="shared" si="274"/>
        <v>0</v>
      </c>
      <c r="S257" s="384">
        <f t="shared" si="274"/>
        <v>4079393.21</v>
      </c>
      <c r="T257" s="384">
        <f t="shared" si="274"/>
        <v>5645989.0700000003</v>
      </c>
      <c r="U257" s="384">
        <f t="shared" si="274"/>
        <v>0</v>
      </c>
      <c r="V257" s="384">
        <f t="shared" si="274"/>
        <v>0</v>
      </c>
      <c r="W257" s="384">
        <f t="shared" si="274"/>
        <v>0</v>
      </c>
      <c r="X257" s="384">
        <f t="shared" si="274"/>
        <v>5645989.0700000003</v>
      </c>
      <c r="Y257" s="384">
        <f t="shared" si="274"/>
        <v>1758186.4000000001</v>
      </c>
      <c r="Z257" s="384">
        <f t="shared" si="274"/>
        <v>0</v>
      </c>
      <c r="AA257" s="384">
        <f t="shared" si="274"/>
        <v>0</v>
      </c>
      <c r="AB257" s="384">
        <f t="shared" si="274"/>
        <v>0</v>
      </c>
      <c r="AC257" s="384">
        <f t="shared" si="274"/>
        <v>1758186.4000000001</v>
      </c>
      <c r="AD257" s="384">
        <f t="shared" si="274"/>
        <v>575435.76</v>
      </c>
      <c r="AE257" s="384">
        <f t="shared" si="274"/>
        <v>0</v>
      </c>
      <c r="AF257" s="384">
        <f t="shared" si="274"/>
        <v>0</v>
      </c>
      <c r="AG257" s="384">
        <f t="shared" si="274"/>
        <v>0</v>
      </c>
      <c r="AH257" s="384">
        <f t="shared" si="274"/>
        <v>575435.76</v>
      </c>
      <c r="AI257" s="384">
        <f t="shared" si="274"/>
        <v>165590</v>
      </c>
      <c r="AJ257" s="384">
        <f t="shared" si="274"/>
        <v>0</v>
      </c>
      <c r="AK257" s="384">
        <f t="shared" si="274"/>
        <v>0</v>
      </c>
      <c r="AL257" s="384">
        <f t="shared" si="274"/>
        <v>0</v>
      </c>
      <c r="AM257" s="384">
        <f t="shared" si="274"/>
        <v>165590</v>
      </c>
      <c r="AN257" s="384">
        <f t="shared" si="274"/>
        <v>57208.45</v>
      </c>
      <c r="AO257" s="384">
        <f t="shared" si="274"/>
        <v>0</v>
      </c>
      <c r="AP257" s="384">
        <f t="shared" si="274"/>
        <v>0</v>
      </c>
      <c r="AQ257" s="384">
        <f t="shared" si="274"/>
        <v>0</v>
      </c>
      <c r="AR257" s="384">
        <f t="shared" si="274"/>
        <v>57208.45</v>
      </c>
      <c r="AS257" s="384">
        <f t="shared" si="274"/>
        <v>1985550.5699999996</v>
      </c>
      <c r="AT257" s="384">
        <f t="shared" si="274"/>
        <v>0</v>
      </c>
      <c r="AU257" s="384">
        <f t="shared" si="274"/>
        <v>0</v>
      </c>
      <c r="AV257" s="384">
        <f t="shared" si="274"/>
        <v>0</v>
      </c>
      <c r="AW257" s="384">
        <f t="shared" si="274"/>
        <v>1985550.5699999996</v>
      </c>
      <c r="AX257" s="384">
        <f t="shared" ref="AX257:BB257" si="275">SUM(AX211:AX226)+SUM(AX231:AX248)+AX250-AX258-AX259+AX251+AX252+AX253+AX254</f>
        <v>0</v>
      </c>
      <c r="AY257" s="384">
        <f t="shared" si="275"/>
        <v>0</v>
      </c>
      <c r="AZ257" s="384">
        <f t="shared" si="275"/>
        <v>0</v>
      </c>
      <c r="BA257" s="384">
        <f t="shared" si="275"/>
        <v>0</v>
      </c>
      <c r="BB257" s="384">
        <f t="shared" si="275"/>
        <v>0</v>
      </c>
      <c r="BC257" s="384">
        <f t="shared" si="274"/>
        <v>32830.289999999957</v>
      </c>
      <c r="BD257" s="384" t="s">
        <v>328</v>
      </c>
      <c r="BE257" s="384" t="s">
        <v>328</v>
      </c>
      <c r="BF257" s="384" t="s">
        <v>328</v>
      </c>
      <c r="BG257" s="384">
        <f t="shared" ref="BG257:BV257" si="276">SUM(BG211:BG226)+SUM(BG231:BG248)+BG250-BG258-BG259+BG251+BG252+BG253+BG254</f>
        <v>0</v>
      </c>
      <c r="BH257" s="384">
        <f t="shared" si="276"/>
        <v>0</v>
      </c>
      <c r="BI257" s="384">
        <f t="shared" si="276"/>
        <v>0</v>
      </c>
      <c r="BJ257" s="384">
        <f t="shared" si="276"/>
        <v>0</v>
      </c>
      <c r="BK257" s="384">
        <f t="shared" si="276"/>
        <v>0</v>
      </c>
      <c r="BL257" s="384">
        <f t="shared" si="276"/>
        <v>32830.290000000015</v>
      </c>
      <c r="BM257" s="384">
        <f t="shared" si="276"/>
        <v>0</v>
      </c>
      <c r="BN257" s="384">
        <f t="shared" si="276"/>
        <v>0</v>
      </c>
      <c r="BO257" s="384">
        <f t="shared" si="276"/>
        <v>0</v>
      </c>
      <c r="BP257" s="384">
        <f t="shared" si="276"/>
        <v>32830.290000000015</v>
      </c>
      <c r="BQ257" s="384">
        <f t="shared" si="276"/>
        <v>0</v>
      </c>
      <c r="BR257" s="384">
        <f t="shared" si="276"/>
        <v>0</v>
      </c>
      <c r="BS257" s="384">
        <f t="shared" si="276"/>
        <v>0</v>
      </c>
      <c r="BT257" s="384">
        <f t="shared" si="276"/>
        <v>0</v>
      </c>
      <c r="BU257" s="384">
        <f t="shared" si="276"/>
        <v>0</v>
      </c>
      <c r="BV257" s="384">
        <f t="shared" si="276"/>
        <v>32830.289999999957</v>
      </c>
      <c r="BW257" s="363">
        <f t="shared" ref="BW257:CU257" si="277">SUM(BW211:BW226)+SUM(BW231:BW248)+BW250-BW258-BW259+BW251+BW252</f>
        <v>0</v>
      </c>
      <c r="BX257" s="363">
        <f t="shared" si="277"/>
        <v>0</v>
      </c>
      <c r="BY257" s="363">
        <f t="shared" si="277"/>
        <v>0</v>
      </c>
      <c r="BZ257" s="363">
        <f t="shared" si="277"/>
        <v>0</v>
      </c>
      <c r="CA257" s="363">
        <f t="shared" si="277"/>
        <v>0</v>
      </c>
      <c r="CB257" s="363">
        <f t="shared" si="277"/>
        <v>0</v>
      </c>
      <c r="CC257" s="363">
        <f t="shared" si="277"/>
        <v>0</v>
      </c>
      <c r="CD257" s="363">
        <f t="shared" si="277"/>
        <v>0</v>
      </c>
      <c r="CE257" s="363">
        <f t="shared" si="277"/>
        <v>0</v>
      </c>
      <c r="CF257" s="363">
        <f t="shared" si="277"/>
        <v>0</v>
      </c>
      <c r="CG257" s="363">
        <f t="shared" si="277"/>
        <v>0</v>
      </c>
      <c r="CH257" s="363">
        <f t="shared" si="277"/>
        <v>0</v>
      </c>
      <c r="CI257" s="363">
        <f t="shared" si="277"/>
        <v>0</v>
      </c>
      <c r="CJ257" s="363">
        <f t="shared" si="277"/>
        <v>0</v>
      </c>
      <c r="CK257" s="363">
        <f t="shared" si="277"/>
        <v>0</v>
      </c>
      <c r="CL257" s="363">
        <f t="shared" si="277"/>
        <v>0</v>
      </c>
      <c r="CM257" s="363">
        <f t="shared" si="277"/>
        <v>0</v>
      </c>
      <c r="CN257" s="363">
        <f t="shared" si="277"/>
        <v>0</v>
      </c>
      <c r="CO257" s="363">
        <f t="shared" si="277"/>
        <v>0</v>
      </c>
      <c r="CP257" s="363">
        <f t="shared" si="277"/>
        <v>0</v>
      </c>
      <c r="CQ257" s="363">
        <f t="shared" si="277"/>
        <v>0</v>
      </c>
      <c r="CR257" s="363">
        <f t="shared" si="277"/>
        <v>0</v>
      </c>
      <c r="CS257" s="363">
        <f t="shared" si="277"/>
        <v>0</v>
      </c>
      <c r="CT257" s="363">
        <f t="shared" si="277"/>
        <v>0</v>
      </c>
      <c r="CU257" s="363">
        <f t="shared" si="277"/>
        <v>0</v>
      </c>
    </row>
    <row r="258" spans="1:99" ht="21.6" customHeight="1" x14ac:dyDescent="0.25">
      <c r="A258" s="408" t="s">
        <v>195</v>
      </c>
      <c r="B258" s="409"/>
      <c r="C258" s="374" t="s">
        <v>235</v>
      </c>
      <c r="D258" s="420"/>
      <c r="E258" s="384">
        <f>E240+E220</f>
        <v>198582</v>
      </c>
      <c r="F258" s="384">
        <f t="shared" ref="F258:BC258" si="278">F240+F220</f>
        <v>0</v>
      </c>
      <c r="G258" s="384">
        <f t="shared" si="278"/>
        <v>0</v>
      </c>
      <c r="H258" s="384">
        <f t="shared" si="278"/>
        <v>0</v>
      </c>
      <c r="I258" s="384">
        <f t="shared" si="278"/>
        <v>198582</v>
      </c>
      <c r="J258" s="384">
        <f t="shared" si="278"/>
        <v>0</v>
      </c>
      <c r="K258" s="384">
        <f t="shared" si="278"/>
        <v>0</v>
      </c>
      <c r="L258" s="384">
        <f t="shared" si="278"/>
        <v>0</v>
      </c>
      <c r="M258" s="384">
        <f t="shared" si="278"/>
        <v>0</v>
      </c>
      <c r="N258" s="384">
        <f t="shared" si="278"/>
        <v>0</v>
      </c>
      <c r="O258" s="384">
        <f t="shared" si="278"/>
        <v>0</v>
      </c>
      <c r="P258" s="384">
        <f t="shared" si="278"/>
        <v>0</v>
      </c>
      <c r="Q258" s="384">
        <f t="shared" si="278"/>
        <v>0</v>
      </c>
      <c r="R258" s="384">
        <f t="shared" si="278"/>
        <v>0</v>
      </c>
      <c r="S258" s="384">
        <f t="shared" si="278"/>
        <v>0</v>
      </c>
      <c r="T258" s="384">
        <f t="shared" si="278"/>
        <v>198582</v>
      </c>
      <c r="U258" s="384">
        <f t="shared" si="278"/>
        <v>0</v>
      </c>
      <c r="V258" s="384">
        <f t="shared" si="278"/>
        <v>0</v>
      </c>
      <c r="W258" s="384">
        <f t="shared" si="278"/>
        <v>0</v>
      </c>
      <c r="X258" s="384">
        <f t="shared" si="278"/>
        <v>198582</v>
      </c>
      <c r="Y258" s="384">
        <f t="shared" si="278"/>
        <v>0</v>
      </c>
      <c r="Z258" s="384">
        <f t="shared" si="278"/>
        <v>0</v>
      </c>
      <c r="AA258" s="384">
        <f t="shared" si="278"/>
        <v>0</v>
      </c>
      <c r="AB258" s="384">
        <f t="shared" si="278"/>
        <v>0</v>
      </c>
      <c r="AC258" s="384">
        <f t="shared" si="278"/>
        <v>0</v>
      </c>
      <c r="AD258" s="384">
        <f t="shared" si="278"/>
        <v>0</v>
      </c>
      <c r="AE258" s="384">
        <f t="shared" si="278"/>
        <v>0</v>
      </c>
      <c r="AF258" s="384">
        <f t="shared" si="278"/>
        <v>0</v>
      </c>
      <c r="AG258" s="384">
        <f t="shared" si="278"/>
        <v>0</v>
      </c>
      <c r="AH258" s="384">
        <f t="shared" si="278"/>
        <v>0</v>
      </c>
      <c r="AI258" s="384">
        <f t="shared" si="278"/>
        <v>0</v>
      </c>
      <c r="AJ258" s="384">
        <f t="shared" si="278"/>
        <v>0</v>
      </c>
      <c r="AK258" s="384">
        <f t="shared" si="278"/>
        <v>0</v>
      </c>
      <c r="AL258" s="384">
        <f t="shared" si="278"/>
        <v>0</v>
      </c>
      <c r="AM258" s="384">
        <f t="shared" si="278"/>
        <v>0</v>
      </c>
      <c r="AN258" s="384">
        <f t="shared" si="278"/>
        <v>0</v>
      </c>
      <c r="AO258" s="384">
        <f t="shared" si="278"/>
        <v>0</v>
      </c>
      <c r="AP258" s="384">
        <f t="shared" si="278"/>
        <v>0</v>
      </c>
      <c r="AQ258" s="384">
        <f t="shared" si="278"/>
        <v>0</v>
      </c>
      <c r="AR258" s="384">
        <f t="shared" si="278"/>
        <v>0</v>
      </c>
      <c r="AS258" s="384">
        <f t="shared" si="278"/>
        <v>0</v>
      </c>
      <c r="AT258" s="384">
        <f t="shared" si="278"/>
        <v>0</v>
      </c>
      <c r="AU258" s="384">
        <f t="shared" si="278"/>
        <v>0</v>
      </c>
      <c r="AV258" s="384">
        <f t="shared" si="278"/>
        <v>0</v>
      </c>
      <c r="AW258" s="384">
        <f t="shared" si="278"/>
        <v>0</v>
      </c>
      <c r="AX258" s="384">
        <f t="shared" si="278"/>
        <v>0</v>
      </c>
      <c r="AY258" s="384">
        <f t="shared" si="278"/>
        <v>0</v>
      </c>
      <c r="AZ258" s="384">
        <f t="shared" si="278"/>
        <v>0</v>
      </c>
      <c r="BA258" s="384">
        <f t="shared" si="278"/>
        <v>0</v>
      </c>
      <c r="BB258" s="384">
        <f t="shared" si="278"/>
        <v>0</v>
      </c>
      <c r="BC258" s="384">
        <f t="shared" si="278"/>
        <v>0</v>
      </c>
      <c r="BD258" s="384" t="s">
        <v>328</v>
      </c>
      <c r="BE258" s="384" t="s">
        <v>328</v>
      </c>
      <c r="BF258" s="384" t="s">
        <v>328</v>
      </c>
      <c r="BG258" s="384">
        <f t="shared" ref="BG258:BV258" si="279">BG240+BG220</f>
        <v>0</v>
      </c>
      <c r="BH258" s="384">
        <f t="shared" si="279"/>
        <v>0</v>
      </c>
      <c r="BI258" s="384">
        <f t="shared" si="279"/>
        <v>0</v>
      </c>
      <c r="BJ258" s="384">
        <f t="shared" si="279"/>
        <v>0</v>
      </c>
      <c r="BK258" s="384">
        <f t="shared" si="279"/>
        <v>0</v>
      </c>
      <c r="BL258" s="384">
        <f t="shared" si="279"/>
        <v>0</v>
      </c>
      <c r="BM258" s="384">
        <f t="shared" si="279"/>
        <v>0</v>
      </c>
      <c r="BN258" s="384">
        <f t="shared" si="279"/>
        <v>0</v>
      </c>
      <c r="BO258" s="384">
        <f t="shared" si="279"/>
        <v>0</v>
      </c>
      <c r="BP258" s="384">
        <f t="shared" si="279"/>
        <v>0</v>
      </c>
      <c r="BQ258" s="384">
        <f t="shared" si="279"/>
        <v>0</v>
      </c>
      <c r="BR258" s="384">
        <f t="shared" si="279"/>
        <v>0</v>
      </c>
      <c r="BS258" s="384">
        <f t="shared" si="279"/>
        <v>0</v>
      </c>
      <c r="BT258" s="384">
        <f t="shared" si="279"/>
        <v>0</v>
      </c>
      <c r="BU258" s="384">
        <f t="shared" si="279"/>
        <v>0</v>
      </c>
      <c r="BV258" s="384">
        <f t="shared" si="279"/>
        <v>0</v>
      </c>
    </row>
    <row r="259" spans="1:99" ht="21.6" customHeight="1" x14ac:dyDescent="0.25">
      <c r="A259" s="408" t="s">
        <v>195</v>
      </c>
      <c r="B259" s="409"/>
      <c r="C259" s="374">
        <v>223</v>
      </c>
      <c r="D259" s="420"/>
      <c r="E259" s="384">
        <f t="shared" ref="E259:BC259" si="280">E245+E225</f>
        <v>0</v>
      </c>
      <c r="F259" s="384">
        <f t="shared" si="280"/>
        <v>0</v>
      </c>
      <c r="G259" s="384">
        <f t="shared" si="280"/>
        <v>0</v>
      </c>
      <c r="H259" s="384">
        <f t="shared" si="280"/>
        <v>0</v>
      </c>
      <c r="I259" s="384">
        <f t="shared" si="280"/>
        <v>0</v>
      </c>
      <c r="J259" s="384">
        <f t="shared" si="280"/>
        <v>0</v>
      </c>
      <c r="K259" s="384">
        <f t="shared" si="280"/>
        <v>0</v>
      </c>
      <c r="L259" s="384">
        <f t="shared" si="280"/>
        <v>0</v>
      </c>
      <c r="M259" s="384">
        <f t="shared" si="280"/>
        <v>0</v>
      </c>
      <c r="N259" s="384">
        <f t="shared" si="280"/>
        <v>0</v>
      </c>
      <c r="O259" s="384">
        <f t="shared" si="280"/>
        <v>0</v>
      </c>
      <c r="P259" s="384">
        <f t="shared" si="280"/>
        <v>0</v>
      </c>
      <c r="Q259" s="384">
        <f t="shared" si="280"/>
        <v>0</v>
      </c>
      <c r="R259" s="384">
        <f t="shared" si="280"/>
        <v>0</v>
      </c>
      <c r="S259" s="384">
        <f t="shared" si="280"/>
        <v>0</v>
      </c>
      <c r="T259" s="384">
        <f t="shared" si="280"/>
        <v>0</v>
      </c>
      <c r="U259" s="384">
        <f t="shared" si="280"/>
        <v>0</v>
      </c>
      <c r="V259" s="384">
        <f t="shared" si="280"/>
        <v>0</v>
      </c>
      <c r="W259" s="384">
        <f t="shared" si="280"/>
        <v>0</v>
      </c>
      <c r="X259" s="384">
        <f t="shared" si="280"/>
        <v>0</v>
      </c>
      <c r="Y259" s="384">
        <f t="shared" si="280"/>
        <v>0</v>
      </c>
      <c r="Z259" s="384">
        <f t="shared" si="280"/>
        <v>0</v>
      </c>
      <c r="AA259" s="384">
        <f t="shared" si="280"/>
        <v>0</v>
      </c>
      <c r="AB259" s="384">
        <f t="shared" si="280"/>
        <v>0</v>
      </c>
      <c r="AC259" s="384">
        <f t="shared" si="280"/>
        <v>0</v>
      </c>
      <c r="AD259" s="384">
        <f t="shared" si="280"/>
        <v>0</v>
      </c>
      <c r="AE259" s="384">
        <f t="shared" si="280"/>
        <v>0</v>
      </c>
      <c r="AF259" s="384">
        <f t="shared" si="280"/>
        <v>0</v>
      </c>
      <c r="AG259" s="384">
        <f t="shared" si="280"/>
        <v>0</v>
      </c>
      <c r="AH259" s="384">
        <f t="shared" si="280"/>
        <v>0</v>
      </c>
      <c r="AI259" s="384">
        <f t="shared" si="280"/>
        <v>0</v>
      </c>
      <c r="AJ259" s="384">
        <f t="shared" si="280"/>
        <v>0</v>
      </c>
      <c r="AK259" s="384">
        <f t="shared" si="280"/>
        <v>0</v>
      </c>
      <c r="AL259" s="384">
        <f t="shared" si="280"/>
        <v>0</v>
      </c>
      <c r="AM259" s="384">
        <f t="shared" si="280"/>
        <v>0</v>
      </c>
      <c r="AN259" s="384">
        <f t="shared" si="280"/>
        <v>0</v>
      </c>
      <c r="AO259" s="384">
        <f t="shared" si="280"/>
        <v>0</v>
      </c>
      <c r="AP259" s="384">
        <f t="shared" si="280"/>
        <v>0</v>
      </c>
      <c r="AQ259" s="384">
        <f t="shared" si="280"/>
        <v>0</v>
      </c>
      <c r="AR259" s="384">
        <f t="shared" si="280"/>
        <v>0</v>
      </c>
      <c r="AS259" s="384">
        <f t="shared" si="280"/>
        <v>0</v>
      </c>
      <c r="AT259" s="384">
        <f t="shared" si="280"/>
        <v>0</v>
      </c>
      <c r="AU259" s="384">
        <f t="shared" si="280"/>
        <v>0</v>
      </c>
      <c r="AV259" s="384">
        <f t="shared" si="280"/>
        <v>0</v>
      </c>
      <c r="AW259" s="384">
        <f t="shared" si="280"/>
        <v>0</v>
      </c>
      <c r="AX259" s="384">
        <f t="shared" si="280"/>
        <v>0</v>
      </c>
      <c r="AY259" s="384">
        <f t="shared" si="280"/>
        <v>0</v>
      </c>
      <c r="AZ259" s="384">
        <f t="shared" si="280"/>
        <v>0</v>
      </c>
      <c r="BA259" s="384">
        <f t="shared" si="280"/>
        <v>0</v>
      </c>
      <c r="BB259" s="384">
        <f t="shared" si="280"/>
        <v>0</v>
      </c>
      <c r="BC259" s="384">
        <f t="shared" si="280"/>
        <v>0</v>
      </c>
      <c r="BD259" s="384" t="s">
        <v>328</v>
      </c>
      <c r="BE259" s="384" t="s">
        <v>328</v>
      </c>
      <c r="BF259" s="384" t="s">
        <v>328</v>
      </c>
      <c r="BG259" s="384">
        <f t="shared" ref="BG259:BV259" si="281">BG245+BG225</f>
        <v>0</v>
      </c>
      <c r="BH259" s="384">
        <f t="shared" si="281"/>
        <v>0</v>
      </c>
      <c r="BI259" s="384">
        <f t="shared" si="281"/>
        <v>0</v>
      </c>
      <c r="BJ259" s="384">
        <f t="shared" si="281"/>
        <v>0</v>
      </c>
      <c r="BK259" s="384">
        <f t="shared" si="281"/>
        <v>0</v>
      </c>
      <c r="BL259" s="384">
        <f t="shared" si="281"/>
        <v>0</v>
      </c>
      <c r="BM259" s="384">
        <f t="shared" si="281"/>
        <v>0</v>
      </c>
      <c r="BN259" s="384">
        <f t="shared" si="281"/>
        <v>0</v>
      </c>
      <c r="BO259" s="384">
        <f t="shared" si="281"/>
        <v>0</v>
      </c>
      <c r="BP259" s="384">
        <f t="shared" si="281"/>
        <v>0</v>
      </c>
      <c r="BQ259" s="384">
        <f t="shared" si="281"/>
        <v>0</v>
      </c>
      <c r="BR259" s="384">
        <f t="shared" si="281"/>
        <v>0</v>
      </c>
      <c r="BS259" s="384">
        <f t="shared" si="281"/>
        <v>0</v>
      </c>
      <c r="BT259" s="384">
        <f t="shared" si="281"/>
        <v>0</v>
      </c>
      <c r="BU259" s="384">
        <f t="shared" si="281"/>
        <v>0</v>
      </c>
      <c r="BV259" s="384">
        <f t="shared" si="281"/>
        <v>0</v>
      </c>
    </row>
    <row r="260" spans="1:99" ht="21.6" customHeight="1" x14ac:dyDescent="0.25">
      <c r="A260" s="408" t="s">
        <v>195</v>
      </c>
      <c r="B260" s="409"/>
      <c r="C260" s="374">
        <v>290</v>
      </c>
      <c r="D260" s="420"/>
      <c r="E260" s="384">
        <f t="shared" ref="E260:BV260" si="282">E249</f>
        <v>70000</v>
      </c>
      <c r="F260" s="384">
        <f t="shared" si="282"/>
        <v>0</v>
      </c>
      <c r="G260" s="384">
        <f t="shared" si="282"/>
        <v>0</v>
      </c>
      <c r="H260" s="384">
        <f t="shared" si="282"/>
        <v>0</v>
      </c>
      <c r="I260" s="384">
        <f t="shared" si="282"/>
        <v>70000</v>
      </c>
      <c r="J260" s="384">
        <f t="shared" si="282"/>
        <v>0</v>
      </c>
      <c r="K260" s="384">
        <f t="shared" si="282"/>
        <v>0</v>
      </c>
      <c r="L260" s="384">
        <f t="shared" si="282"/>
        <v>0</v>
      </c>
      <c r="M260" s="384">
        <f t="shared" si="282"/>
        <v>0</v>
      </c>
      <c r="N260" s="384">
        <f t="shared" si="282"/>
        <v>0</v>
      </c>
      <c r="O260" s="384">
        <f t="shared" si="282"/>
        <v>0</v>
      </c>
      <c r="P260" s="384">
        <f t="shared" si="282"/>
        <v>0</v>
      </c>
      <c r="Q260" s="384">
        <f t="shared" si="282"/>
        <v>0</v>
      </c>
      <c r="R260" s="384">
        <f t="shared" si="282"/>
        <v>0</v>
      </c>
      <c r="S260" s="384">
        <f t="shared" si="282"/>
        <v>0</v>
      </c>
      <c r="T260" s="384">
        <f t="shared" si="282"/>
        <v>0</v>
      </c>
      <c r="U260" s="384">
        <f t="shared" si="282"/>
        <v>0</v>
      </c>
      <c r="V260" s="384">
        <f t="shared" si="282"/>
        <v>0</v>
      </c>
      <c r="W260" s="384">
        <f t="shared" si="282"/>
        <v>0</v>
      </c>
      <c r="X260" s="384">
        <f t="shared" si="282"/>
        <v>0</v>
      </c>
      <c r="Y260" s="384">
        <f t="shared" si="282"/>
        <v>0</v>
      </c>
      <c r="Z260" s="384">
        <f t="shared" si="282"/>
        <v>0</v>
      </c>
      <c r="AA260" s="384">
        <f t="shared" si="282"/>
        <v>0</v>
      </c>
      <c r="AB260" s="384">
        <f t="shared" si="282"/>
        <v>0</v>
      </c>
      <c r="AC260" s="384">
        <f t="shared" si="282"/>
        <v>0</v>
      </c>
      <c r="AD260" s="384">
        <f t="shared" si="282"/>
        <v>70000</v>
      </c>
      <c r="AE260" s="384">
        <f t="shared" si="282"/>
        <v>0</v>
      </c>
      <c r="AF260" s="384">
        <f t="shared" si="282"/>
        <v>0</v>
      </c>
      <c r="AG260" s="384">
        <f t="shared" si="282"/>
        <v>0</v>
      </c>
      <c r="AH260" s="384">
        <f t="shared" si="282"/>
        <v>70000</v>
      </c>
      <c r="AI260" s="384">
        <f t="shared" si="282"/>
        <v>0</v>
      </c>
      <c r="AJ260" s="384">
        <f t="shared" si="282"/>
        <v>0</v>
      </c>
      <c r="AK260" s="384">
        <f t="shared" si="282"/>
        <v>0</v>
      </c>
      <c r="AL260" s="384">
        <f t="shared" si="282"/>
        <v>0</v>
      </c>
      <c r="AM260" s="384">
        <f t="shared" si="282"/>
        <v>0</v>
      </c>
      <c r="AN260" s="384">
        <f t="shared" si="282"/>
        <v>0</v>
      </c>
      <c r="AO260" s="384">
        <f t="shared" si="282"/>
        <v>0</v>
      </c>
      <c r="AP260" s="384">
        <f t="shared" si="282"/>
        <v>0</v>
      </c>
      <c r="AQ260" s="384">
        <f t="shared" si="282"/>
        <v>0</v>
      </c>
      <c r="AR260" s="384">
        <f t="shared" si="282"/>
        <v>0</v>
      </c>
      <c r="AS260" s="384">
        <f t="shared" si="282"/>
        <v>0</v>
      </c>
      <c r="AT260" s="384">
        <f t="shared" si="282"/>
        <v>0</v>
      </c>
      <c r="AU260" s="384">
        <f t="shared" si="282"/>
        <v>0</v>
      </c>
      <c r="AV260" s="384">
        <f t="shared" si="282"/>
        <v>0</v>
      </c>
      <c r="AW260" s="384">
        <f t="shared" si="282"/>
        <v>0</v>
      </c>
      <c r="AX260" s="384">
        <f t="shared" si="282"/>
        <v>0</v>
      </c>
      <c r="AY260" s="384">
        <f t="shared" si="282"/>
        <v>0</v>
      </c>
      <c r="AZ260" s="384">
        <f t="shared" si="282"/>
        <v>0</v>
      </c>
      <c r="BA260" s="384">
        <f t="shared" si="282"/>
        <v>0</v>
      </c>
      <c r="BB260" s="384">
        <f t="shared" si="282"/>
        <v>0</v>
      </c>
      <c r="BC260" s="384">
        <f t="shared" si="282"/>
        <v>0</v>
      </c>
      <c r="BD260" s="384" t="s">
        <v>328</v>
      </c>
      <c r="BE260" s="384" t="s">
        <v>328</v>
      </c>
      <c r="BF260" s="384" t="s">
        <v>328</v>
      </c>
      <c r="BG260" s="384">
        <f t="shared" si="282"/>
        <v>0</v>
      </c>
      <c r="BH260" s="384">
        <f t="shared" si="282"/>
        <v>0</v>
      </c>
      <c r="BI260" s="384">
        <f t="shared" si="282"/>
        <v>0</v>
      </c>
      <c r="BJ260" s="384">
        <f t="shared" si="282"/>
        <v>0</v>
      </c>
      <c r="BK260" s="384">
        <f t="shared" si="282"/>
        <v>0</v>
      </c>
      <c r="BL260" s="384">
        <f t="shared" si="282"/>
        <v>0</v>
      </c>
      <c r="BM260" s="384">
        <f t="shared" si="282"/>
        <v>0</v>
      </c>
      <c r="BN260" s="384">
        <f t="shared" si="282"/>
        <v>0</v>
      </c>
      <c r="BO260" s="384">
        <f t="shared" si="282"/>
        <v>0</v>
      </c>
      <c r="BP260" s="384">
        <f t="shared" si="282"/>
        <v>0</v>
      </c>
      <c r="BQ260" s="384">
        <f t="shared" si="282"/>
        <v>0</v>
      </c>
      <c r="BR260" s="384">
        <f t="shared" si="282"/>
        <v>0</v>
      </c>
      <c r="BS260" s="384">
        <f t="shared" si="282"/>
        <v>0</v>
      </c>
      <c r="BT260" s="384">
        <f t="shared" si="282"/>
        <v>0</v>
      </c>
      <c r="BU260" s="384">
        <f t="shared" si="282"/>
        <v>0</v>
      </c>
      <c r="BV260" s="384">
        <f t="shared" si="282"/>
        <v>0</v>
      </c>
    </row>
    <row r="261" spans="1:99" ht="21.6" customHeight="1" x14ac:dyDescent="0.25">
      <c r="A261" s="408" t="s">
        <v>194</v>
      </c>
      <c r="B261" s="409"/>
      <c r="C261" s="374">
        <v>310</v>
      </c>
      <c r="D261" s="383"/>
      <c r="E261" s="384">
        <f t="shared" ref="E261:BD261" si="283">E230</f>
        <v>3311487</v>
      </c>
      <c r="F261" s="384">
        <f t="shared" si="283"/>
        <v>2122552.91</v>
      </c>
      <c r="G261" s="384">
        <f t="shared" si="283"/>
        <v>929926.13</v>
      </c>
      <c r="H261" s="384">
        <f t="shared" si="283"/>
        <v>259007.96</v>
      </c>
      <c r="I261" s="384">
        <f t="shared" si="283"/>
        <v>0</v>
      </c>
      <c r="J261" s="384">
        <f t="shared" si="283"/>
        <v>0</v>
      </c>
      <c r="K261" s="384">
        <f t="shared" si="283"/>
        <v>0</v>
      </c>
      <c r="L261" s="384">
        <f t="shared" si="283"/>
        <v>0</v>
      </c>
      <c r="M261" s="384">
        <f t="shared" si="283"/>
        <v>0</v>
      </c>
      <c r="N261" s="384">
        <f t="shared" si="283"/>
        <v>0</v>
      </c>
      <c r="O261" s="384">
        <f t="shared" si="283"/>
        <v>0</v>
      </c>
      <c r="P261" s="384">
        <f t="shared" si="283"/>
        <v>0</v>
      </c>
      <c r="Q261" s="384">
        <f t="shared" si="283"/>
        <v>0</v>
      </c>
      <c r="R261" s="384">
        <f t="shared" si="283"/>
        <v>0</v>
      </c>
      <c r="S261" s="384">
        <f t="shared" si="283"/>
        <v>0</v>
      </c>
      <c r="T261" s="384">
        <f t="shared" si="283"/>
        <v>3224463.47</v>
      </c>
      <c r="U261" s="384">
        <f t="shared" si="283"/>
        <v>2066773.73</v>
      </c>
      <c r="V261" s="384">
        <f t="shared" si="283"/>
        <v>905488.33</v>
      </c>
      <c r="W261" s="384">
        <f t="shared" si="283"/>
        <v>252201.41</v>
      </c>
      <c r="X261" s="384">
        <f t="shared" si="283"/>
        <v>0</v>
      </c>
      <c r="Y261" s="384">
        <f t="shared" si="283"/>
        <v>87023.53</v>
      </c>
      <c r="Z261" s="384">
        <f t="shared" si="283"/>
        <v>55779.18</v>
      </c>
      <c r="AA261" s="384">
        <f t="shared" si="283"/>
        <v>24437.8</v>
      </c>
      <c r="AB261" s="384">
        <f t="shared" si="283"/>
        <v>6806.55</v>
      </c>
      <c r="AC261" s="384">
        <f t="shared" si="283"/>
        <v>0</v>
      </c>
      <c r="AD261" s="384">
        <f t="shared" si="283"/>
        <v>0</v>
      </c>
      <c r="AE261" s="384">
        <f t="shared" si="283"/>
        <v>0</v>
      </c>
      <c r="AF261" s="384">
        <f t="shared" si="283"/>
        <v>0</v>
      </c>
      <c r="AG261" s="384">
        <f t="shared" si="283"/>
        <v>0</v>
      </c>
      <c r="AH261" s="384">
        <f t="shared" si="283"/>
        <v>0</v>
      </c>
      <c r="AI261" s="384">
        <f t="shared" si="283"/>
        <v>0</v>
      </c>
      <c r="AJ261" s="384">
        <f t="shared" si="283"/>
        <v>0</v>
      </c>
      <c r="AK261" s="384">
        <f t="shared" si="283"/>
        <v>0</v>
      </c>
      <c r="AL261" s="384">
        <f t="shared" si="283"/>
        <v>0</v>
      </c>
      <c r="AM261" s="384">
        <f t="shared" si="283"/>
        <v>0</v>
      </c>
      <c r="AN261" s="384">
        <f t="shared" si="283"/>
        <v>0</v>
      </c>
      <c r="AO261" s="384">
        <f t="shared" si="283"/>
        <v>0</v>
      </c>
      <c r="AP261" s="384">
        <f t="shared" si="283"/>
        <v>0</v>
      </c>
      <c r="AQ261" s="384">
        <f t="shared" si="283"/>
        <v>0</v>
      </c>
      <c r="AR261" s="384">
        <f t="shared" si="283"/>
        <v>0</v>
      </c>
      <c r="AS261" s="384">
        <f t="shared" si="283"/>
        <v>0</v>
      </c>
      <c r="AT261" s="384">
        <f t="shared" si="283"/>
        <v>0</v>
      </c>
      <c r="AU261" s="384">
        <f t="shared" si="283"/>
        <v>0</v>
      </c>
      <c r="AV261" s="384">
        <f t="shared" si="283"/>
        <v>0</v>
      </c>
      <c r="AW261" s="384">
        <f t="shared" si="283"/>
        <v>0</v>
      </c>
      <c r="AX261" s="384">
        <f t="shared" si="283"/>
        <v>0</v>
      </c>
      <c r="AY261" s="384">
        <f t="shared" si="283"/>
        <v>0</v>
      </c>
      <c r="AZ261" s="384">
        <f t="shared" si="283"/>
        <v>0</v>
      </c>
      <c r="BA261" s="384">
        <f t="shared" si="283"/>
        <v>0</v>
      </c>
      <c r="BB261" s="384">
        <f t="shared" si="283"/>
        <v>0</v>
      </c>
      <c r="BC261" s="384">
        <f t="shared" si="283"/>
        <v>-2.0372681319713593E-10</v>
      </c>
      <c r="BD261" s="384">
        <f t="shared" si="283"/>
        <v>90.9</v>
      </c>
      <c r="BE261" s="384">
        <f>BE230</f>
        <v>95.2</v>
      </c>
      <c r="BF261" s="384">
        <f>BF230</f>
        <v>105.91</v>
      </c>
      <c r="BG261" s="384">
        <f t="shared" ref="BG261:BV261" si="284">BG230</f>
        <v>0</v>
      </c>
      <c r="BH261" s="384">
        <f t="shared" si="284"/>
        <v>0</v>
      </c>
      <c r="BI261" s="384">
        <f t="shared" si="284"/>
        <v>0</v>
      </c>
      <c r="BJ261" s="384">
        <f t="shared" si="284"/>
        <v>0</v>
      </c>
      <c r="BK261" s="384">
        <f t="shared" si="284"/>
        <v>0</v>
      </c>
      <c r="BL261" s="384">
        <f t="shared" si="284"/>
        <v>0</v>
      </c>
      <c r="BM261" s="384">
        <f t="shared" si="284"/>
        <v>0</v>
      </c>
      <c r="BN261" s="384">
        <f t="shared" si="284"/>
        <v>0</v>
      </c>
      <c r="BO261" s="384">
        <f t="shared" si="284"/>
        <v>0</v>
      </c>
      <c r="BP261" s="384">
        <f t="shared" si="284"/>
        <v>0</v>
      </c>
      <c r="BQ261" s="384">
        <f t="shared" si="284"/>
        <v>0</v>
      </c>
      <c r="BR261" s="384">
        <f t="shared" si="284"/>
        <v>0</v>
      </c>
      <c r="BS261" s="384">
        <f t="shared" si="284"/>
        <v>0</v>
      </c>
      <c r="BT261" s="384">
        <f t="shared" si="284"/>
        <v>0</v>
      </c>
      <c r="BU261" s="384">
        <f t="shared" si="284"/>
        <v>0</v>
      </c>
      <c r="BV261" s="384">
        <f t="shared" si="284"/>
        <v>-2.0372681319713593E-10</v>
      </c>
    </row>
    <row r="262" spans="1:99" x14ac:dyDescent="0.25">
      <c r="A262" s="421"/>
      <c r="B262" s="422"/>
      <c r="C262" s="377"/>
      <c r="D262" s="423"/>
      <c r="E262" s="384"/>
      <c r="F262" s="384"/>
      <c r="G262" s="384"/>
      <c r="H262" s="384"/>
      <c r="I262" s="384"/>
      <c r="J262" s="384"/>
      <c r="K262" s="384"/>
      <c r="L262" s="384"/>
      <c r="M262" s="384"/>
      <c r="N262" s="384"/>
      <c r="O262" s="384"/>
      <c r="P262" s="38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4"/>
      <c r="AA262" s="384"/>
      <c r="AB262" s="384"/>
      <c r="AC262" s="384"/>
      <c r="AD262" s="384"/>
      <c r="AE262" s="384"/>
      <c r="AF262" s="384"/>
      <c r="AG262" s="384"/>
      <c r="AH262" s="384"/>
      <c r="AI262" s="384"/>
      <c r="AJ262" s="384"/>
      <c r="AK262" s="384"/>
      <c r="AL262" s="384"/>
      <c r="AM262" s="386"/>
      <c r="AN262" s="384"/>
      <c r="AO262" s="384"/>
      <c r="AP262" s="384"/>
      <c r="AQ262" s="384"/>
      <c r="AR262" s="386"/>
      <c r="AS262" s="384"/>
      <c r="AT262" s="384"/>
      <c r="AU262" s="384"/>
      <c r="AV262" s="384"/>
      <c r="AW262" s="386"/>
      <c r="AX262" s="384"/>
      <c r="AY262" s="384"/>
      <c r="AZ262" s="384"/>
      <c r="BA262" s="384"/>
      <c r="BB262" s="386"/>
      <c r="BC262" s="384"/>
      <c r="BD262" s="384"/>
      <c r="BE262" s="384"/>
      <c r="BF262" s="384"/>
      <c r="BG262" s="384"/>
      <c r="BH262" s="384"/>
      <c r="BI262" s="384"/>
      <c r="BJ262" s="384"/>
      <c r="BK262" s="384"/>
      <c r="BL262" s="384"/>
      <c r="BM262" s="384"/>
      <c r="BN262" s="384"/>
      <c r="BO262" s="384"/>
      <c r="BP262" s="384"/>
      <c r="BQ262" s="384"/>
      <c r="BR262" s="384"/>
      <c r="BS262" s="384"/>
      <c r="BT262" s="384"/>
      <c r="BU262" s="386"/>
      <c r="BV262" s="384"/>
    </row>
    <row r="263" spans="1:99" ht="22.9" customHeight="1" x14ac:dyDescent="0.25">
      <c r="A263" s="368" t="s">
        <v>255</v>
      </c>
      <c r="B263" s="369"/>
      <c r="C263" s="369"/>
      <c r="D263" s="378"/>
      <c r="E263" s="379"/>
      <c r="F263" s="379"/>
      <c r="G263" s="379"/>
      <c r="H263" s="379"/>
      <c r="I263" s="379"/>
      <c r="J263" s="379"/>
      <c r="K263" s="379"/>
      <c r="L263" s="379"/>
      <c r="M263" s="379"/>
      <c r="N263" s="379"/>
      <c r="O263" s="379"/>
      <c r="P263" s="379"/>
      <c r="Q263" s="379"/>
      <c r="R263" s="379"/>
      <c r="S263" s="379"/>
      <c r="T263" s="379"/>
      <c r="U263" s="379"/>
      <c r="V263" s="379"/>
      <c r="W263" s="379"/>
      <c r="X263" s="379"/>
      <c r="Y263" s="379"/>
      <c r="Z263" s="379"/>
      <c r="AA263" s="379"/>
      <c r="AB263" s="379"/>
      <c r="AC263" s="379"/>
      <c r="AD263" s="379"/>
      <c r="AE263" s="379"/>
      <c r="AF263" s="379"/>
      <c r="AG263" s="379"/>
      <c r="AH263" s="379"/>
      <c r="AI263" s="379"/>
      <c r="AJ263" s="379"/>
      <c r="AK263" s="379"/>
      <c r="AL263" s="379"/>
      <c r="AM263" s="379"/>
      <c r="AN263" s="379"/>
      <c r="AO263" s="379"/>
      <c r="AP263" s="379"/>
      <c r="AQ263" s="379"/>
      <c r="AR263" s="379"/>
      <c r="AS263" s="379"/>
      <c r="AT263" s="379"/>
      <c r="AU263" s="379"/>
      <c r="AV263" s="379"/>
      <c r="AW263" s="379"/>
      <c r="AX263" s="379"/>
      <c r="AY263" s="379"/>
      <c r="AZ263" s="379"/>
      <c r="BA263" s="379"/>
      <c r="BB263" s="379"/>
      <c r="BC263" s="379"/>
      <c r="BD263" s="424"/>
      <c r="BE263" s="424"/>
      <c r="BF263" s="424"/>
      <c r="BG263" s="379"/>
      <c r="BH263" s="379"/>
      <c r="BI263" s="379"/>
      <c r="BJ263" s="379"/>
      <c r="BK263" s="379"/>
      <c r="BL263" s="379"/>
      <c r="BM263" s="379"/>
      <c r="BN263" s="379"/>
      <c r="BO263" s="379"/>
      <c r="BP263" s="379"/>
      <c r="BQ263" s="379"/>
      <c r="BR263" s="379"/>
      <c r="BS263" s="379"/>
      <c r="BT263" s="379"/>
      <c r="BU263" s="379"/>
      <c r="BV263" s="374"/>
    </row>
    <row r="264" spans="1:99" ht="31.15" customHeight="1" x14ac:dyDescent="0.25">
      <c r="A264" s="382" t="s">
        <v>34</v>
      </c>
      <c r="B264" s="383" t="s">
        <v>256</v>
      </c>
      <c r="C264" s="374"/>
      <c r="D264" s="383"/>
      <c r="E264" s="384">
        <f>SUM(E265:E269)</f>
        <v>3174298.52</v>
      </c>
      <c r="F264" s="384">
        <f>SUM(F265:F269)</f>
        <v>0</v>
      </c>
      <c r="G264" s="384">
        <f>SUM(G265:G269)</f>
        <v>0</v>
      </c>
      <c r="H264" s="384">
        <f>SUM(H265:H269)</f>
        <v>0</v>
      </c>
      <c r="I264" s="384">
        <f>SUM(I265:I269)</f>
        <v>3174298.52</v>
      </c>
      <c r="J264" s="384">
        <f t="shared" ref="J264:BD264" si="285">SUM(J265:J269)</f>
        <v>0</v>
      </c>
      <c r="K264" s="384">
        <f t="shared" si="285"/>
        <v>0</v>
      </c>
      <c r="L264" s="384">
        <f t="shared" si="285"/>
        <v>0</v>
      </c>
      <c r="M264" s="384">
        <f t="shared" si="285"/>
        <v>0</v>
      </c>
      <c r="N264" s="384">
        <f t="shared" si="285"/>
        <v>0</v>
      </c>
      <c r="O264" s="384">
        <f t="shared" si="285"/>
        <v>99297</v>
      </c>
      <c r="P264" s="384">
        <f t="shared" si="285"/>
        <v>0</v>
      </c>
      <c r="Q264" s="384">
        <f t="shared" si="285"/>
        <v>0</v>
      </c>
      <c r="R264" s="384">
        <f t="shared" si="285"/>
        <v>0</v>
      </c>
      <c r="S264" s="384">
        <f t="shared" si="285"/>
        <v>99297</v>
      </c>
      <c r="T264" s="384">
        <f t="shared" si="285"/>
        <v>1206795.95</v>
      </c>
      <c r="U264" s="384">
        <f t="shared" si="285"/>
        <v>0</v>
      </c>
      <c r="V264" s="384">
        <f t="shared" si="285"/>
        <v>0</v>
      </c>
      <c r="W264" s="384">
        <f t="shared" si="285"/>
        <v>0</v>
      </c>
      <c r="X264" s="384">
        <f t="shared" si="285"/>
        <v>1206795.95</v>
      </c>
      <c r="Y264" s="384">
        <f t="shared" si="285"/>
        <v>0</v>
      </c>
      <c r="Z264" s="384">
        <f t="shared" si="285"/>
        <v>0</v>
      </c>
      <c r="AA264" s="384">
        <f t="shared" si="285"/>
        <v>0</v>
      </c>
      <c r="AB264" s="384">
        <f t="shared" si="285"/>
        <v>0</v>
      </c>
      <c r="AC264" s="384">
        <f t="shared" si="285"/>
        <v>0</v>
      </c>
      <c r="AD264" s="384">
        <f t="shared" si="285"/>
        <v>1868205.57</v>
      </c>
      <c r="AE264" s="384">
        <f t="shared" si="285"/>
        <v>0</v>
      </c>
      <c r="AF264" s="384">
        <f t="shared" si="285"/>
        <v>0</v>
      </c>
      <c r="AG264" s="384">
        <f t="shared" si="285"/>
        <v>0</v>
      </c>
      <c r="AH264" s="386">
        <f t="shared" si="285"/>
        <v>1868205.57</v>
      </c>
      <c r="AI264" s="384">
        <f t="shared" si="285"/>
        <v>0</v>
      </c>
      <c r="AJ264" s="384">
        <f t="shared" si="285"/>
        <v>0</v>
      </c>
      <c r="AK264" s="384">
        <f t="shared" si="285"/>
        <v>0</v>
      </c>
      <c r="AL264" s="384">
        <f t="shared" si="285"/>
        <v>0</v>
      </c>
      <c r="AM264" s="386">
        <f t="shared" si="285"/>
        <v>0</v>
      </c>
      <c r="AN264" s="384">
        <v>0</v>
      </c>
      <c r="AO264" s="384">
        <v>0</v>
      </c>
      <c r="AP264" s="384">
        <v>0</v>
      </c>
      <c r="AQ264" s="384">
        <v>0</v>
      </c>
      <c r="AR264" s="386">
        <v>0</v>
      </c>
      <c r="AS264" s="384">
        <v>0</v>
      </c>
      <c r="AT264" s="384">
        <v>0</v>
      </c>
      <c r="AU264" s="384">
        <v>0</v>
      </c>
      <c r="AV264" s="384">
        <v>0</v>
      </c>
      <c r="AW264" s="386">
        <v>0</v>
      </c>
      <c r="AX264" s="384">
        <f t="shared" ref="AX264:BB264" si="286">SUM(AX265:AX269)</f>
        <v>0</v>
      </c>
      <c r="AY264" s="384">
        <f t="shared" si="286"/>
        <v>0</v>
      </c>
      <c r="AZ264" s="384">
        <f t="shared" si="286"/>
        <v>0</v>
      </c>
      <c r="BA264" s="384">
        <f t="shared" si="286"/>
        <v>0</v>
      </c>
      <c r="BB264" s="386">
        <f t="shared" si="286"/>
        <v>0</v>
      </c>
      <c r="BC264" s="384">
        <f>SUM(BC265:BC269)</f>
        <v>0</v>
      </c>
      <c r="BD264" s="384">
        <f t="shared" si="285"/>
        <v>0</v>
      </c>
      <c r="BE264" s="384">
        <v>0</v>
      </c>
      <c r="BF264" s="384">
        <v>0</v>
      </c>
      <c r="BG264" s="384">
        <f t="shared" ref="BG264:BV264" si="287">SUM(BG265:BG269)</f>
        <v>0</v>
      </c>
      <c r="BH264" s="384">
        <f t="shared" si="287"/>
        <v>0</v>
      </c>
      <c r="BI264" s="384">
        <f t="shared" si="287"/>
        <v>0</v>
      </c>
      <c r="BJ264" s="384">
        <f t="shared" si="287"/>
        <v>0</v>
      </c>
      <c r="BK264" s="384">
        <f t="shared" si="287"/>
        <v>0</v>
      </c>
      <c r="BL264" s="384">
        <f t="shared" si="287"/>
        <v>0</v>
      </c>
      <c r="BM264" s="384">
        <f t="shared" si="287"/>
        <v>0</v>
      </c>
      <c r="BN264" s="384">
        <f t="shared" si="287"/>
        <v>0</v>
      </c>
      <c r="BO264" s="384">
        <f t="shared" si="287"/>
        <v>0</v>
      </c>
      <c r="BP264" s="384">
        <f t="shared" si="287"/>
        <v>0</v>
      </c>
      <c r="BQ264" s="384">
        <f t="shared" si="287"/>
        <v>0</v>
      </c>
      <c r="BR264" s="384">
        <f t="shared" si="287"/>
        <v>0</v>
      </c>
      <c r="BS264" s="384">
        <f t="shared" si="287"/>
        <v>0</v>
      </c>
      <c r="BT264" s="384">
        <f t="shared" si="287"/>
        <v>0</v>
      </c>
      <c r="BU264" s="386">
        <f t="shared" si="287"/>
        <v>0</v>
      </c>
      <c r="BV264" s="384">
        <f t="shared" si="287"/>
        <v>0</v>
      </c>
    </row>
    <row r="265" spans="1:99" ht="36" customHeight="1" x14ac:dyDescent="0.25">
      <c r="A265" s="382" t="s">
        <v>43</v>
      </c>
      <c r="B265" s="383" t="s">
        <v>10</v>
      </c>
      <c r="C265" s="374">
        <v>226</v>
      </c>
      <c r="D265" s="387" t="s">
        <v>642</v>
      </c>
      <c r="E265" s="384">
        <f>F265+G265+H265+I265</f>
        <v>99297</v>
      </c>
      <c r="F265" s="384"/>
      <c r="G265" s="384"/>
      <c r="H265" s="384"/>
      <c r="I265" s="384">
        <v>99297</v>
      </c>
      <c r="J265" s="384">
        <f>K265+L265+M265+N265</f>
        <v>0</v>
      </c>
      <c r="K265" s="384"/>
      <c r="L265" s="384"/>
      <c r="M265" s="384"/>
      <c r="N265" s="384"/>
      <c r="O265" s="384">
        <f>P265+Q265+R265+S265</f>
        <v>99297</v>
      </c>
      <c r="P265" s="384"/>
      <c r="Q265" s="384"/>
      <c r="R265" s="384"/>
      <c r="S265" s="384">
        <v>99297</v>
      </c>
      <c r="T265" s="384">
        <f>U265+V265+W265+X265</f>
        <v>0</v>
      </c>
      <c r="U265" s="384"/>
      <c r="V265" s="384"/>
      <c r="W265" s="384"/>
      <c r="X265" s="384"/>
      <c r="Y265" s="384">
        <f>Z265+AA265+AB265+AC265</f>
        <v>0</v>
      </c>
      <c r="Z265" s="384"/>
      <c r="AA265" s="384"/>
      <c r="AB265" s="384"/>
      <c r="AC265" s="384"/>
      <c r="AD265" s="384">
        <f>SUM(AE265:AH265)</f>
        <v>0</v>
      </c>
      <c r="AE265" s="384"/>
      <c r="AF265" s="384"/>
      <c r="AG265" s="384"/>
      <c r="AH265" s="386"/>
      <c r="AI265" s="384">
        <f>SUM(AJ265:AM265)</f>
        <v>0</v>
      </c>
      <c r="AJ265" s="384"/>
      <c r="AK265" s="384"/>
      <c r="AL265" s="384"/>
      <c r="AM265" s="386"/>
      <c r="AN265" s="384">
        <v>0</v>
      </c>
      <c r="AO265" s="384"/>
      <c r="AP265" s="384"/>
      <c r="AQ265" s="384"/>
      <c r="AR265" s="386"/>
      <c r="AS265" s="384">
        <v>0</v>
      </c>
      <c r="AT265" s="384"/>
      <c r="AU265" s="384"/>
      <c r="AV265" s="384"/>
      <c r="AW265" s="386"/>
      <c r="AX265" s="384">
        <f>SUM(AY265:BB265)</f>
        <v>0</v>
      </c>
      <c r="AY265" s="384"/>
      <c r="AZ265" s="384"/>
      <c r="BA265" s="384"/>
      <c r="BB265" s="386"/>
      <c r="BC265" s="384">
        <f>E265-J265-O265-T265-Y265-AD265-AI265-AN265-AS265-AX265</f>
        <v>0</v>
      </c>
      <c r="BD265" s="384"/>
      <c r="BE265" s="384"/>
      <c r="BF265" s="384"/>
      <c r="BG265" s="384">
        <f>SUM(BH265:BK265)</f>
        <v>0</v>
      </c>
      <c r="BH265" s="384"/>
      <c r="BI265" s="384"/>
      <c r="BJ265" s="384"/>
      <c r="BK265" s="384"/>
      <c r="BL265" s="384">
        <f>BM265+BN265+BO265+BP265</f>
        <v>0</v>
      </c>
      <c r="BM265" s="384"/>
      <c r="BN265" s="384"/>
      <c r="BO265" s="384"/>
      <c r="BP265" s="384"/>
      <c r="BQ265" s="384">
        <f>SUM(BR265:BU265)</f>
        <v>0</v>
      </c>
      <c r="BR265" s="384"/>
      <c r="BS265" s="384"/>
      <c r="BT265" s="384"/>
      <c r="BU265" s="386"/>
      <c r="BV265" s="384">
        <f>BC265-BQ265</f>
        <v>0</v>
      </c>
    </row>
    <row r="266" spans="1:99" ht="45.6" customHeight="1" x14ac:dyDescent="0.25">
      <c r="A266" s="382" t="s">
        <v>44</v>
      </c>
      <c r="B266" s="383" t="s">
        <v>1</v>
      </c>
      <c r="C266" s="374">
        <v>226</v>
      </c>
      <c r="D266" s="387" t="s">
        <v>641</v>
      </c>
      <c r="E266" s="384">
        <f t="shared" ref="E266:E274" si="288">F266+G266+H266+I266</f>
        <v>325341.67</v>
      </c>
      <c r="F266" s="384"/>
      <c r="G266" s="384"/>
      <c r="H266" s="384"/>
      <c r="I266" s="384">
        <v>325341.67</v>
      </c>
      <c r="J266" s="384">
        <f>K266+L266+M266+N266</f>
        <v>0</v>
      </c>
      <c r="K266" s="384"/>
      <c r="L266" s="384"/>
      <c r="M266" s="384"/>
      <c r="N266" s="384"/>
      <c r="O266" s="384">
        <f>P266+Q266+R266+S266</f>
        <v>0</v>
      </c>
      <c r="P266" s="384"/>
      <c r="Q266" s="384"/>
      <c r="R266" s="384"/>
      <c r="S266" s="384">
        <v>0</v>
      </c>
      <c r="T266" s="384">
        <f>U266+V266+W266+X266</f>
        <v>325341.67</v>
      </c>
      <c r="U266" s="384"/>
      <c r="V266" s="384"/>
      <c r="W266" s="384"/>
      <c r="X266" s="384">
        <v>325341.67</v>
      </c>
      <c r="Y266" s="384">
        <f>Z266+AA266+AB266+AC266</f>
        <v>0</v>
      </c>
      <c r="Z266" s="384"/>
      <c r="AA266" s="384"/>
      <c r="AB266" s="384"/>
      <c r="AC266" s="384"/>
      <c r="AD266" s="384">
        <f>SUM(AE266:AH266)</f>
        <v>0</v>
      </c>
      <c r="AE266" s="384"/>
      <c r="AF266" s="384"/>
      <c r="AG266" s="384"/>
      <c r="AH266" s="386"/>
      <c r="AI266" s="384">
        <f>SUM(AJ266:AM266)</f>
        <v>0</v>
      </c>
      <c r="AJ266" s="384"/>
      <c r="AK266" s="384"/>
      <c r="AL266" s="384"/>
      <c r="AM266" s="386"/>
      <c r="AN266" s="384">
        <v>0</v>
      </c>
      <c r="AO266" s="384"/>
      <c r="AP266" s="384"/>
      <c r="AQ266" s="384"/>
      <c r="AR266" s="386"/>
      <c r="AS266" s="384">
        <v>0</v>
      </c>
      <c r="AT266" s="384"/>
      <c r="AU266" s="384"/>
      <c r="AV266" s="384"/>
      <c r="AW266" s="386"/>
      <c r="AX266" s="384">
        <f>SUM(AY266:BB266)</f>
        <v>0</v>
      </c>
      <c r="AY266" s="384"/>
      <c r="AZ266" s="384"/>
      <c r="BA266" s="384"/>
      <c r="BB266" s="386"/>
      <c r="BC266" s="384">
        <f t="shared" ref="BC266:BC269" si="289">E266-J266-O266-T266-Y266-AD266-AI266-AN266-AS266-AX266</f>
        <v>0</v>
      </c>
      <c r="BD266" s="384"/>
      <c r="BE266" s="384"/>
      <c r="BF266" s="384"/>
      <c r="BG266" s="384">
        <f>SUM(BH266:BK266)</f>
        <v>0</v>
      </c>
      <c r="BH266" s="384"/>
      <c r="BI266" s="384"/>
      <c r="BJ266" s="384"/>
      <c r="BK266" s="384"/>
      <c r="BL266" s="384">
        <f>BM266+BN266+BO266+BP266</f>
        <v>0</v>
      </c>
      <c r="BM266" s="384"/>
      <c r="BN266" s="384"/>
      <c r="BO266" s="384"/>
      <c r="BP266" s="384"/>
      <c r="BQ266" s="384">
        <f>SUM(BR266:BU266)</f>
        <v>0</v>
      </c>
      <c r="BR266" s="384"/>
      <c r="BS266" s="384"/>
      <c r="BT266" s="384"/>
      <c r="BU266" s="386"/>
      <c r="BV266" s="384">
        <f>BC266-BQ266</f>
        <v>0</v>
      </c>
    </row>
    <row r="267" spans="1:99" ht="41.45" customHeight="1" x14ac:dyDescent="0.25">
      <c r="A267" s="382" t="s">
        <v>45</v>
      </c>
      <c r="B267" s="383" t="s">
        <v>1</v>
      </c>
      <c r="C267" s="374">
        <v>226</v>
      </c>
      <c r="D267" s="387" t="s">
        <v>643</v>
      </c>
      <c r="E267" s="384">
        <f t="shared" si="288"/>
        <v>71438</v>
      </c>
      <c r="F267" s="384"/>
      <c r="G267" s="384"/>
      <c r="H267" s="384"/>
      <c r="I267" s="384">
        <v>71438</v>
      </c>
      <c r="J267" s="384">
        <f>K267+L267+M267+N267</f>
        <v>0</v>
      </c>
      <c r="K267" s="384"/>
      <c r="L267" s="384"/>
      <c r="M267" s="384"/>
      <c r="N267" s="384"/>
      <c r="O267" s="384">
        <f>P267+Q267+R267+S267</f>
        <v>0</v>
      </c>
      <c r="P267" s="384"/>
      <c r="Q267" s="384"/>
      <c r="R267" s="384"/>
      <c r="S267" s="384">
        <v>0</v>
      </c>
      <c r="T267" s="384">
        <f>U267+V267+W267+X267</f>
        <v>71438</v>
      </c>
      <c r="U267" s="384"/>
      <c r="V267" s="384"/>
      <c r="W267" s="384"/>
      <c r="X267" s="384">
        <v>71438</v>
      </c>
      <c r="Y267" s="384">
        <f>Z267+AA267+AB267+AC267</f>
        <v>0</v>
      </c>
      <c r="Z267" s="384"/>
      <c r="AA267" s="384"/>
      <c r="AB267" s="384"/>
      <c r="AC267" s="384"/>
      <c r="AD267" s="384">
        <f>SUM(AE267:AH267)</f>
        <v>0</v>
      </c>
      <c r="AE267" s="384"/>
      <c r="AF267" s="384"/>
      <c r="AG267" s="384"/>
      <c r="AH267" s="386"/>
      <c r="AI267" s="384">
        <f>SUM(AJ267:AM267)</f>
        <v>0</v>
      </c>
      <c r="AJ267" s="384"/>
      <c r="AK267" s="384"/>
      <c r="AL267" s="384"/>
      <c r="AM267" s="386"/>
      <c r="AN267" s="384">
        <v>0</v>
      </c>
      <c r="AO267" s="384"/>
      <c r="AP267" s="384"/>
      <c r="AQ267" s="384"/>
      <c r="AR267" s="386"/>
      <c r="AS267" s="384">
        <v>0</v>
      </c>
      <c r="AT267" s="384"/>
      <c r="AU267" s="384"/>
      <c r="AV267" s="384"/>
      <c r="AW267" s="386"/>
      <c r="AX267" s="384">
        <f>SUM(AY267:BB267)</f>
        <v>0</v>
      </c>
      <c r="AY267" s="384"/>
      <c r="AZ267" s="384"/>
      <c r="BA267" s="384"/>
      <c r="BB267" s="386"/>
      <c r="BC267" s="384">
        <f t="shared" si="289"/>
        <v>0</v>
      </c>
      <c r="BD267" s="384"/>
      <c r="BE267" s="384"/>
      <c r="BF267" s="384"/>
      <c r="BG267" s="384">
        <f>SUM(BH267:BK267)</f>
        <v>0</v>
      </c>
      <c r="BH267" s="384"/>
      <c r="BI267" s="384"/>
      <c r="BJ267" s="384"/>
      <c r="BK267" s="384"/>
      <c r="BL267" s="384">
        <f>BM267+BN267+BO267+BP267</f>
        <v>0</v>
      </c>
      <c r="BM267" s="384"/>
      <c r="BN267" s="384"/>
      <c r="BO267" s="384"/>
      <c r="BP267" s="384"/>
      <c r="BQ267" s="384">
        <f>SUM(BR267:BU267)</f>
        <v>0</v>
      </c>
      <c r="BR267" s="384"/>
      <c r="BS267" s="384"/>
      <c r="BT267" s="384"/>
      <c r="BU267" s="386"/>
      <c r="BV267" s="384">
        <f>BC267-BQ267</f>
        <v>0</v>
      </c>
    </row>
    <row r="268" spans="1:99" ht="42" customHeight="1" x14ac:dyDescent="0.25">
      <c r="A268" s="382" t="s">
        <v>46</v>
      </c>
      <c r="B268" s="383" t="s">
        <v>11</v>
      </c>
      <c r="C268" s="374">
        <v>226</v>
      </c>
      <c r="D268" s="387" t="s">
        <v>640</v>
      </c>
      <c r="E268" s="384">
        <f t="shared" si="288"/>
        <v>2668865.1</v>
      </c>
      <c r="F268" s="384"/>
      <c r="G268" s="384"/>
      <c r="H268" s="384"/>
      <c r="I268" s="384">
        <v>2668865.1</v>
      </c>
      <c r="J268" s="384">
        <f>K268+L268+M268+N268</f>
        <v>0</v>
      </c>
      <c r="K268" s="384"/>
      <c r="L268" s="384"/>
      <c r="M268" s="384"/>
      <c r="N268" s="384"/>
      <c r="O268" s="384">
        <f>P268+Q268+R268+S268</f>
        <v>0</v>
      </c>
      <c r="P268" s="384"/>
      <c r="Q268" s="384"/>
      <c r="R268" s="384"/>
      <c r="S268" s="384">
        <v>0</v>
      </c>
      <c r="T268" s="384">
        <f>U268+V268+W268+X268</f>
        <v>800659.53</v>
      </c>
      <c r="U268" s="384"/>
      <c r="V268" s="384"/>
      <c r="W268" s="384"/>
      <c r="X268" s="384">
        <v>800659.53</v>
      </c>
      <c r="Y268" s="384">
        <f>Z268+AA268+AB268+AC268</f>
        <v>0</v>
      </c>
      <c r="Z268" s="384"/>
      <c r="AA268" s="384"/>
      <c r="AB268" s="384"/>
      <c r="AC268" s="384"/>
      <c r="AD268" s="384">
        <f>SUM(AE268:AH268)</f>
        <v>1868205.57</v>
      </c>
      <c r="AE268" s="384"/>
      <c r="AF268" s="384"/>
      <c r="AG268" s="384"/>
      <c r="AH268" s="384">
        <v>1868205.57</v>
      </c>
      <c r="AI268" s="384">
        <f>SUM(AJ268:AM268)</f>
        <v>0</v>
      </c>
      <c r="AJ268" s="384"/>
      <c r="AK268" s="384"/>
      <c r="AL268" s="384"/>
      <c r="AM268" s="384"/>
      <c r="AN268" s="384">
        <v>0</v>
      </c>
      <c r="AO268" s="384"/>
      <c r="AP268" s="384"/>
      <c r="AQ268" s="384"/>
      <c r="AR268" s="384"/>
      <c r="AS268" s="384">
        <v>0</v>
      </c>
      <c r="AT268" s="384"/>
      <c r="AU268" s="384"/>
      <c r="AV268" s="384"/>
      <c r="AW268" s="384"/>
      <c r="AX268" s="384">
        <f>SUM(AY268:BB268)</f>
        <v>0</v>
      </c>
      <c r="AY268" s="384"/>
      <c r="AZ268" s="384"/>
      <c r="BA268" s="384"/>
      <c r="BB268" s="384"/>
      <c r="BC268" s="384">
        <f t="shared" si="289"/>
        <v>0</v>
      </c>
      <c r="BD268" s="384"/>
      <c r="BE268" s="384"/>
      <c r="BF268" s="384"/>
      <c r="BG268" s="384">
        <f>SUM(BH268:BK268)</f>
        <v>0</v>
      </c>
      <c r="BH268" s="384"/>
      <c r="BI268" s="384"/>
      <c r="BJ268" s="384"/>
      <c r="BK268" s="384"/>
      <c r="BL268" s="384">
        <f>BM268+BN268+BO268+BP268</f>
        <v>0</v>
      </c>
      <c r="BM268" s="384"/>
      <c r="BN268" s="384"/>
      <c r="BO268" s="384"/>
      <c r="BP268" s="384"/>
      <c r="BQ268" s="384">
        <f>SUM(BR268:BU268)</f>
        <v>0</v>
      </c>
      <c r="BR268" s="384"/>
      <c r="BS268" s="384"/>
      <c r="BT268" s="384"/>
      <c r="BU268" s="384"/>
      <c r="BV268" s="384">
        <f>BC268-BQ268</f>
        <v>0</v>
      </c>
    </row>
    <row r="269" spans="1:99" ht="36" customHeight="1" x14ac:dyDescent="0.25">
      <c r="A269" s="382" t="s">
        <v>47</v>
      </c>
      <c r="B269" s="388" t="s">
        <v>22</v>
      </c>
      <c r="C269" s="377">
        <v>226</v>
      </c>
      <c r="D269" s="390" t="s">
        <v>639</v>
      </c>
      <c r="E269" s="384">
        <f t="shared" si="288"/>
        <v>9356.75</v>
      </c>
      <c r="F269" s="384"/>
      <c r="G269" s="384"/>
      <c r="H269" s="384"/>
      <c r="I269" s="384">
        <v>9356.75</v>
      </c>
      <c r="J269" s="384">
        <f>K269+L269+M269+N269</f>
        <v>0</v>
      </c>
      <c r="K269" s="384"/>
      <c r="L269" s="384"/>
      <c r="M269" s="384"/>
      <c r="N269" s="384"/>
      <c r="O269" s="384">
        <f>P269+Q269+R269+S269</f>
        <v>0</v>
      </c>
      <c r="P269" s="384"/>
      <c r="Q269" s="384"/>
      <c r="R269" s="384"/>
      <c r="S269" s="384">
        <v>0</v>
      </c>
      <c r="T269" s="384">
        <f>U269+V269+W269+X269</f>
        <v>9356.75</v>
      </c>
      <c r="U269" s="384"/>
      <c r="V269" s="384"/>
      <c r="W269" s="384"/>
      <c r="X269" s="384">
        <v>9356.75</v>
      </c>
      <c r="Y269" s="384">
        <f>Z269+AA269+AB269+AC269</f>
        <v>0</v>
      </c>
      <c r="Z269" s="384"/>
      <c r="AA269" s="384"/>
      <c r="AB269" s="384"/>
      <c r="AC269" s="384"/>
      <c r="AD269" s="384">
        <f>SUM(AE269:AH269)</f>
        <v>0</v>
      </c>
      <c r="AE269" s="384"/>
      <c r="AF269" s="384"/>
      <c r="AG269" s="384"/>
      <c r="AH269" s="386"/>
      <c r="AI269" s="384">
        <f>SUM(AJ269:AM269)</f>
        <v>0</v>
      </c>
      <c r="AJ269" s="384"/>
      <c r="AK269" s="384"/>
      <c r="AL269" s="384"/>
      <c r="AM269" s="386"/>
      <c r="AN269" s="384">
        <v>0</v>
      </c>
      <c r="AO269" s="384"/>
      <c r="AP269" s="384"/>
      <c r="AQ269" s="384"/>
      <c r="AR269" s="386"/>
      <c r="AS269" s="384">
        <v>0</v>
      </c>
      <c r="AT269" s="384"/>
      <c r="AU269" s="384"/>
      <c r="AV269" s="384"/>
      <c r="AW269" s="386"/>
      <c r="AX269" s="384">
        <f>SUM(AY269:BB269)</f>
        <v>0</v>
      </c>
      <c r="AY269" s="384"/>
      <c r="AZ269" s="384"/>
      <c r="BA269" s="384"/>
      <c r="BB269" s="386"/>
      <c r="BC269" s="384">
        <f t="shared" si="289"/>
        <v>0</v>
      </c>
      <c r="BD269" s="384"/>
      <c r="BE269" s="384"/>
      <c r="BF269" s="384"/>
      <c r="BG269" s="384">
        <f>SUM(BH269:BK269)</f>
        <v>0</v>
      </c>
      <c r="BH269" s="384"/>
      <c r="BI269" s="384"/>
      <c r="BJ269" s="384"/>
      <c r="BK269" s="384"/>
      <c r="BL269" s="384">
        <f>BM269+BN269+BO269+BP269</f>
        <v>0</v>
      </c>
      <c r="BM269" s="384"/>
      <c r="BN269" s="384"/>
      <c r="BO269" s="384"/>
      <c r="BP269" s="384"/>
      <c r="BQ269" s="384">
        <f>SUM(BR269:BU269)</f>
        <v>0</v>
      </c>
      <c r="BR269" s="384"/>
      <c r="BS269" s="384"/>
      <c r="BT269" s="384"/>
      <c r="BU269" s="386"/>
      <c r="BV269" s="384">
        <f>BC269-BQ269</f>
        <v>0</v>
      </c>
    </row>
    <row r="270" spans="1:99" ht="32.450000000000003" customHeight="1" x14ac:dyDescent="0.25">
      <c r="A270" s="382" t="s">
        <v>257</v>
      </c>
      <c r="B270" s="383" t="s">
        <v>258</v>
      </c>
      <c r="C270" s="374"/>
      <c r="D270" s="374"/>
      <c r="E270" s="384">
        <f>SUM(E271:E274)</f>
        <v>3254597.04</v>
      </c>
      <c r="F270" s="384">
        <f>SUM(F271:F274)</f>
        <v>0</v>
      </c>
      <c r="G270" s="384">
        <f>SUM(G271:G274)</f>
        <v>0</v>
      </c>
      <c r="H270" s="384">
        <f>SUM(H271:H274)</f>
        <v>0</v>
      </c>
      <c r="I270" s="384">
        <f>SUM(I271:I274)</f>
        <v>3254597.04</v>
      </c>
      <c r="J270" s="384">
        <f t="shared" ref="J270:BD270" si="290">SUM(J271:J274)</f>
        <v>0</v>
      </c>
      <c r="K270" s="384">
        <f t="shared" si="290"/>
        <v>0</v>
      </c>
      <c r="L270" s="384">
        <f t="shared" si="290"/>
        <v>0</v>
      </c>
      <c r="M270" s="384">
        <f t="shared" si="290"/>
        <v>0</v>
      </c>
      <c r="N270" s="384">
        <f t="shared" si="290"/>
        <v>0</v>
      </c>
      <c r="O270" s="384">
        <f t="shared" si="290"/>
        <v>99297</v>
      </c>
      <c r="P270" s="384">
        <f t="shared" si="290"/>
        <v>0</v>
      </c>
      <c r="Q270" s="384">
        <f t="shared" si="290"/>
        <v>0</v>
      </c>
      <c r="R270" s="384">
        <f t="shared" si="290"/>
        <v>0</v>
      </c>
      <c r="S270" s="384">
        <f t="shared" si="290"/>
        <v>99297</v>
      </c>
      <c r="T270" s="384">
        <f t="shared" si="290"/>
        <v>1068920.6299999999</v>
      </c>
      <c r="U270" s="384">
        <f t="shared" si="290"/>
        <v>0</v>
      </c>
      <c r="V270" s="384">
        <f t="shared" si="290"/>
        <v>0</v>
      </c>
      <c r="W270" s="384">
        <f t="shared" si="290"/>
        <v>0</v>
      </c>
      <c r="X270" s="384">
        <f t="shared" si="290"/>
        <v>1068920.6299999999</v>
      </c>
      <c r="Y270" s="384">
        <f t="shared" si="290"/>
        <v>245616.62</v>
      </c>
      <c r="Z270" s="384">
        <f t="shared" si="290"/>
        <v>0</v>
      </c>
      <c r="AA270" s="384">
        <f t="shared" si="290"/>
        <v>0</v>
      </c>
      <c r="AB270" s="384">
        <f t="shared" si="290"/>
        <v>0</v>
      </c>
      <c r="AC270" s="384">
        <f t="shared" si="290"/>
        <v>245616.62</v>
      </c>
      <c r="AD270" s="384">
        <f t="shared" si="290"/>
        <v>1840762.79</v>
      </c>
      <c r="AE270" s="384">
        <f t="shared" si="290"/>
        <v>0</v>
      </c>
      <c r="AF270" s="384">
        <f t="shared" si="290"/>
        <v>0</v>
      </c>
      <c r="AG270" s="384">
        <f t="shared" si="290"/>
        <v>0</v>
      </c>
      <c r="AH270" s="386">
        <f t="shared" si="290"/>
        <v>1840762.79</v>
      </c>
      <c r="AI270" s="384">
        <f t="shared" si="290"/>
        <v>0</v>
      </c>
      <c r="AJ270" s="384">
        <f t="shared" si="290"/>
        <v>0</v>
      </c>
      <c r="AK270" s="384">
        <f t="shared" si="290"/>
        <v>0</v>
      </c>
      <c r="AL270" s="384">
        <f t="shared" si="290"/>
        <v>0</v>
      </c>
      <c r="AM270" s="386">
        <f t="shared" si="290"/>
        <v>0</v>
      </c>
      <c r="AN270" s="384">
        <v>0</v>
      </c>
      <c r="AO270" s="384">
        <v>0</v>
      </c>
      <c r="AP270" s="384">
        <v>0</v>
      </c>
      <c r="AQ270" s="384">
        <v>0</v>
      </c>
      <c r="AR270" s="386">
        <v>0</v>
      </c>
      <c r="AS270" s="384">
        <v>0</v>
      </c>
      <c r="AT270" s="384">
        <v>0</v>
      </c>
      <c r="AU270" s="384">
        <v>0</v>
      </c>
      <c r="AV270" s="384">
        <v>0</v>
      </c>
      <c r="AW270" s="386">
        <v>0</v>
      </c>
      <c r="AX270" s="384">
        <f t="shared" ref="AX270:BB270" si="291">SUM(AX271:AX274)</f>
        <v>0</v>
      </c>
      <c r="AY270" s="384">
        <f t="shared" si="291"/>
        <v>0</v>
      </c>
      <c r="AZ270" s="384">
        <f t="shared" si="291"/>
        <v>0</v>
      </c>
      <c r="BA270" s="384">
        <f t="shared" si="291"/>
        <v>0</v>
      </c>
      <c r="BB270" s="386">
        <f t="shared" si="291"/>
        <v>0</v>
      </c>
      <c r="BC270" s="384">
        <f t="shared" si="290"/>
        <v>0</v>
      </c>
      <c r="BD270" s="384">
        <f t="shared" si="290"/>
        <v>0</v>
      </c>
      <c r="BE270" s="384">
        <v>0</v>
      </c>
      <c r="BF270" s="384">
        <v>0</v>
      </c>
      <c r="BG270" s="384">
        <f t="shared" ref="BG270:BV270" si="292">SUM(BG271:BG274)</f>
        <v>0</v>
      </c>
      <c r="BH270" s="384">
        <f t="shared" si="292"/>
        <v>0</v>
      </c>
      <c r="BI270" s="384">
        <f t="shared" si="292"/>
        <v>0</v>
      </c>
      <c r="BJ270" s="384">
        <f t="shared" si="292"/>
        <v>0</v>
      </c>
      <c r="BK270" s="384">
        <f t="shared" si="292"/>
        <v>0</v>
      </c>
      <c r="BL270" s="384">
        <f t="shared" si="292"/>
        <v>0</v>
      </c>
      <c r="BM270" s="384">
        <f t="shared" si="292"/>
        <v>0</v>
      </c>
      <c r="BN270" s="384">
        <f t="shared" si="292"/>
        <v>0</v>
      </c>
      <c r="BO270" s="384">
        <f t="shared" si="292"/>
        <v>0</v>
      </c>
      <c r="BP270" s="384">
        <f t="shared" si="292"/>
        <v>0</v>
      </c>
      <c r="BQ270" s="384">
        <f t="shared" si="292"/>
        <v>0</v>
      </c>
      <c r="BR270" s="384">
        <f t="shared" si="292"/>
        <v>0</v>
      </c>
      <c r="BS270" s="384">
        <f t="shared" si="292"/>
        <v>0</v>
      </c>
      <c r="BT270" s="384">
        <f t="shared" si="292"/>
        <v>0</v>
      </c>
      <c r="BU270" s="386">
        <f t="shared" si="292"/>
        <v>0</v>
      </c>
      <c r="BV270" s="384">
        <f t="shared" si="292"/>
        <v>0</v>
      </c>
    </row>
    <row r="271" spans="1:99" ht="34.9" customHeight="1" x14ac:dyDescent="0.25">
      <c r="A271" s="382" t="s">
        <v>52</v>
      </c>
      <c r="B271" s="383" t="s">
        <v>10</v>
      </c>
      <c r="C271" s="374">
        <v>226</v>
      </c>
      <c r="D271" s="387" t="s">
        <v>647</v>
      </c>
      <c r="E271" s="384">
        <f t="shared" si="288"/>
        <v>99297</v>
      </c>
      <c r="F271" s="384"/>
      <c r="G271" s="384"/>
      <c r="H271" s="384"/>
      <c r="I271" s="384">
        <v>99297</v>
      </c>
      <c r="J271" s="384">
        <f>K271+L271+M271+N271</f>
        <v>0</v>
      </c>
      <c r="K271" s="384"/>
      <c r="L271" s="384"/>
      <c r="M271" s="384"/>
      <c r="N271" s="384"/>
      <c r="O271" s="384">
        <f>P271+Q271+R271+S271</f>
        <v>99297</v>
      </c>
      <c r="P271" s="384"/>
      <c r="Q271" s="384"/>
      <c r="R271" s="384"/>
      <c r="S271" s="384">
        <v>99297</v>
      </c>
      <c r="T271" s="384">
        <f>U271+V271+W271+X271</f>
        <v>0</v>
      </c>
      <c r="U271" s="384"/>
      <c r="V271" s="384"/>
      <c r="W271" s="384"/>
      <c r="X271" s="384"/>
      <c r="Y271" s="384">
        <f>Z271+AA271+AB271+AC271</f>
        <v>0</v>
      </c>
      <c r="Z271" s="384"/>
      <c r="AA271" s="384"/>
      <c r="AB271" s="384"/>
      <c r="AC271" s="384"/>
      <c r="AD271" s="384">
        <f>SUM(AE271:AH271)</f>
        <v>0</v>
      </c>
      <c r="AE271" s="384"/>
      <c r="AF271" s="384"/>
      <c r="AG271" s="384"/>
      <c r="AH271" s="386"/>
      <c r="AI271" s="384">
        <f>SUM(AJ271:AM271)</f>
        <v>0</v>
      </c>
      <c r="AJ271" s="384"/>
      <c r="AK271" s="384"/>
      <c r="AL271" s="384"/>
      <c r="AM271" s="386"/>
      <c r="AN271" s="384">
        <v>0</v>
      </c>
      <c r="AO271" s="384"/>
      <c r="AP271" s="384"/>
      <c r="AQ271" s="384"/>
      <c r="AR271" s="386"/>
      <c r="AS271" s="384">
        <v>0</v>
      </c>
      <c r="AT271" s="384"/>
      <c r="AU271" s="384"/>
      <c r="AV271" s="384"/>
      <c r="AW271" s="386"/>
      <c r="AX271" s="384">
        <f>SUM(AY271:BB271)</f>
        <v>0</v>
      </c>
      <c r="AY271" s="384"/>
      <c r="AZ271" s="384"/>
      <c r="BA271" s="384"/>
      <c r="BB271" s="386"/>
      <c r="BC271" s="384">
        <f>E271-J271-O271-T271-Y271-AD271-AI271-AN271-AS271-AX271</f>
        <v>0</v>
      </c>
      <c r="BD271" s="384"/>
      <c r="BE271" s="384"/>
      <c r="BF271" s="384"/>
      <c r="BG271" s="384">
        <f t="shared" ref="BG271:BG278" si="293">SUM(BH271:BK271)</f>
        <v>0</v>
      </c>
      <c r="BH271" s="384"/>
      <c r="BI271" s="384"/>
      <c r="BJ271" s="384"/>
      <c r="BK271" s="384"/>
      <c r="BL271" s="384">
        <f>BM271+BN271+BO271+BP271</f>
        <v>0</v>
      </c>
      <c r="BM271" s="384"/>
      <c r="BN271" s="384"/>
      <c r="BO271" s="384"/>
      <c r="BP271" s="384"/>
      <c r="BQ271" s="384">
        <f>SUM(BR271:BU271)</f>
        <v>0</v>
      </c>
      <c r="BR271" s="384"/>
      <c r="BS271" s="384"/>
      <c r="BT271" s="384"/>
      <c r="BU271" s="386"/>
      <c r="BV271" s="384">
        <f>BC271-BQ271</f>
        <v>0</v>
      </c>
    </row>
    <row r="272" spans="1:99" ht="43.9" customHeight="1" x14ac:dyDescent="0.25">
      <c r="A272" s="382" t="s">
        <v>53</v>
      </c>
      <c r="B272" s="383" t="s">
        <v>1</v>
      </c>
      <c r="C272" s="374">
        <v>226</v>
      </c>
      <c r="D272" s="387" t="s">
        <v>646</v>
      </c>
      <c r="E272" s="384">
        <f t="shared" si="288"/>
        <v>165401.26999999999</v>
      </c>
      <c r="F272" s="384"/>
      <c r="G272" s="384"/>
      <c r="H272" s="384"/>
      <c r="I272" s="384">
        <v>165401.26999999999</v>
      </c>
      <c r="J272" s="384">
        <f>K272+L272+M272+N272</f>
        <v>0</v>
      </c>
      <c r="K272" s="384"/>
      <c r="L272" s="384"/>
      <c r="M272" s="384"/>
      <c r="N272" s="384"/>
      <c r="O272" s="384">
        <f>P272+Q272+R272+S272</f>
        <v>0</v>
      </c>
      <c r="P272" s="384"/>
      <c r="Q272" s="384"/>
      <c r="R272" s="384"/>
      <c r="S272" s="384"/>
      <c r="T272" s="384">
        <f>U272+V272+W272+X272</f>
        <v>165401.26999999999</v>
      </c>
      <c r="U272" s="384"/>
      <c r="V272" s="384"/>
      <c r="W272" s="384"/>
      <c r="X272" s="384">
        <v>165401.26999999999</v>
      </c>
      <c r="Y272" s="384">
        <f>Z272+AA272+AB272+AC272</f>
        <v>0</v>
      </c>
      <c r="Z272" s="384"/>
      <c r="AA272" s="384"/>
      <c r="AB272" s="384"/>
      <c r="AC272" s="384"/>
      <c r="AD272" s="384">
        <f>SUM(AE272:AH272)</f>
        <v>0</v>
      </c>
      <c r="AE272" s="384"/>
      <c r="AF272" s="384"/>
      <c r="AG272" s="384"/>
      <c r="AH272" s="386"/>
      <c r="AI272" s="384">
        <f>SUM(AJ272:AM272)</f>
        <v>0</v>
      </c>
      <c r="AJ272" s="384"/>
      <c r="AK272" s="384"/>
      <c r="AL272" s="384"/>
      <c r="AM272" s="386"/>
      <c r="AN272" s="384">
        <v>0</v>
      </c>
      <c r="AO272" s="384"/>
      <c r="AP272" s="384"/>
      <c r="AQ272" s="384"/>
      <c r="AR272" s="386"/>
      <c r="AS272" s="384">
        <v>0</v>
      </c>
      <c r="AT272" s="384"/>
      <c r="AU272" s="384"/>
      <c r="AV272" s="384"/>
      <c r="AW272" s="386"/>
      <c r="AX272" s="384">
        <f>SUM(AY272:BB272)</f>
        <v>0</v>
      </c>
      <c r="AY272" s="384"/>
      <c r="AZ272" s="384"/>
      <c r="BA272" s="384"/>
      <c r="BB272" s="386"/>
      <c r="BC272" s="384">
        <f t="shared" ref="BC272:BC274" si="294">E272-J272-O272-T272-Y272-AD272-AI272-AN272-AS272-AX272</f>
        <v>0</v>
      </c>
      <c r="BD272" s="384"/>
      <c r="BE272" s="384"/>
      <c r="BF272" s="384"/>
      <c r="BG272" s="384">
        <f t="shared" si="293"/>
        <v>0</v>
      </c>
      <c r="BH272" s="384"/>
      <c r="BI272" s="384"/>
      <c r="BJ272" s="384"/>
      <c r="BK272" s="384"/>
      <c r="BL272" s="384">
        <f>BM272+BN272+BO272+BP272</f>
        <v>0</v>
      </c>
      <c r="BM272" s="384"/>
      <c r="BN272" s="384"/>
      <c r="BO272" s="384"/>
      <c r="BP272" s="384"/>
      <c r="BQ272" s="384">
        <f>SUM(BR272:BU272)</f>
        <v>0</v>
      </c>
      <c r="BR272" s="384"/>
      <c r="BS272" s="384"/>
      <c r="BT272" s="384"/>
      <c r="BU272" s="386"/>
      <c r="BV272" s="384">
        <f>BC272-BQ272</f>
        <v>0</v>
      </c>
    </row>
    <row r="273" spans="1:74" ht="42" customHeight="1" x14ac:dyDescent="0.25">
      <c r="A273" s="382" t="s">
        <v>54</v>
      </c>
      <c r="B273" s="383" t="s">
        <v>11</v>
      </c>
      <c r="C273" s="374">
        <v>226</v>
      </c>
      <c r="D273" s="387" t="s">
        <v>645</v>
      </c>
      <c r="E273" s="384">
        <f t="shared" si="288"/>
        <v>2980542.02</v>
      </c>
      <c r="F273" s="384"/>
      <c r="G273" s="384"/>
      <c r="H273" s="384"/>
      <c r="I273" s="384">
        <v>2980542.02</v>
      </c>
      <c r="J273" s="384">
        <f>K273+L273+M273+N273</f>
        <v>0</v>
      </c>
      <c r="K273" s="384"/>
      <c r="L273" s="384"/>
      <c r="M273" s="384"/>
      <c r="N273" s="384"/>
      <c r="O273" s="384">
        <f>P273+Q273+R273+S273</f>
        <v>0</v>
      </c>
      <c r="P273" s="384"/>
      <c r="Q273" s="384"/>
      <c r="R273" s="384"/>
      <c r="S273" s="384"/>
      <c r="T273" s="384">
        <f>U273+V273+W273+X273</f>
        <v>894162.61</v>
      </c>
      <c r="U273" s="384"/>
      <c r="V273" s="384"/>
      <c r="W273" s="384"/>
      <c r="X273" s="384">
        <v>894162.61</v>
      </c>
      <c r="Y273" s="384">
        <f>Z273+AA273+AB273+AC273</f>
        <v>245616.62</v>
      </c>
      <c r="Z273" s="384"/>
      <c r="AA273" s="384"/>
      <c r="AB273" s="384"/>
      <c r="AC273" s="386">
        <v>245616.62</v>
      </c>
      <c r="AD273" s="384">
        <f>SUM(AE273:AH273)</f>
        <v>1840762.79</v>
      </c>
      <c r="AE273" s="384"/>
      <c r="AF273" s="384"/>
      <c r="AG273" s="384"/>
      <c r="AH273" s="384">
        <v>1840762.79</v>
      </c>
      <c r="AI273" s="384">
        <f>SUM(AJ273:AM273)</f>
        <v>0</v>
      </c>
      <c r="AJ273" s="384"/>
      <c r="AK273" s="384"/>
      <c r="AL273" s="384"/>
      <c r="AM273" s="384"/>
      <c r="AN273" s="384">
        <v>0</v>
      </c>
      <c r="AO273" s="384"/>
      <c r="AP273" s="384"/>
      <c r="AQ273" s="384"/>
      <c r="AR273" s="384"/>
      <c r="AS273" s="384">
        <v>0</v>
      </c>
      <c r="AT273" s="384"/>
      <c r="AU273" s="384"/>
      <c r="AV273" s="384"/>
      <c r="AW273" s="384"/>
      <c r="AX273" s="384">
        <f>SUM(AY273:BB273)</f>
        <v>0</v>
      </c>
      <c r="AY273" s="384"/>
      <c r="AZ273" s="384"/>
      <c r="BA273" s="384"/>
      <c r="BB273" s="384"/>
      <c r="BC273" s="384">
        <f t="shared" si="294"/>
        <v>0</v>
      </c>
      <c r="BD273" s="384"/>
      <c r="BE273" s="384"/>
      <c r="BF273" s="384"/>
      <c r="BG273" s="384">
        <f t="shared" si="293"/>
        <v>0</v>
      </c>
      <c r="BH273" s="384"/>
      <c r="BI273" s="384"/>
      <c r="BJ273" s="384"/>
      <c r="BK273" s="384"/>
      <c r="BL273" s="384">
        <f>BM273+BN273+BO273+BP273</f>
        <v>0</v>
      </c>
      <c r="BM273" s="384"/>
      <c r="BN273" s="384"/>
      <c r="BO273" s="384"/>
      <c r="BP273" s="384"/>
      <c r="BQ273" s="384">
        <f>SUM(BR273:BU273)</f>
        <v>0</v>
      </c>
      <c r="BR273" s="384"/>
      <c r="BS273" s="384"/>
      <c r="BT273" s="384"/>
      <c r="BU273" s="384"/>
      <c r="BV273" s="384">
        <f>BC273-BQ273</f>
        <v>0</v>
      </c>
    </row>
    <row r="274" spans="1:74" ht="33.6" customHeight="1" x14ac:dyDescent="0.25">
      <c r="A274" s="382" t="s">
        <v>55</v>
      </c>
      <c r="B274" s="388" t="s">
        <v>22</v>
      </c>
      <c r="C274" s="377">
        <v>226</v>
      </c>
      <c r="D274" s="390" t="s">
        <v>644</v>
      </c>
      <c r="E274" s="384">
        <f t="shared" si="288"/>
        <v>9356.75</v>
      </c>
      <c r="F274" s="384"/>
      <c r="G274" s="384"/>
      <c r="H274" s="384"/>
      <c r="I274" s="384">
        <v>9356.75</v>
      </c>
      <c r="J274" s="384">
        <f>K274+L274+M274+N274</f>
        <v>0</v>
      </c>
      <c r="K274" s="384"/>
      <c r="L274" s="384"/>
      <c r="M274" s="384"/>
      <c r="N274" s="384"/>
      <c r="O274" s="384">
        <f>P274+Q274+R274+S274</f>
        <v>0</v>
      </c>
      <c r="P274" s="384"/>
      <c r="Q274" s="384"/>
      <c r="R274" s="384"/>
      <c r="S274" s="384"/>
      <c r="T274" s="384">
        <f>U274+V274+W274+X274</f>
        <v>9356.75</v>
      </c>
      <c r="U274" s="384"/>
      <c r="V274" s="384"/>
      <c r="W274" s="384"/>
      <c r="X274" s="384">
        <v>9356.75</v>
      </c>
      <c r="Y274" s="384">
        <f>Z274+AA274+AB274+AC274</f>
        <v>0</v>
      </c>
      <c r="Z274" s="384"/>
      <c r="AA274" s="384"/>
      <c r="AB274" s="384"/>
      <c r="AC274" s="384"/>
      <c r="AD274" s="384">
        <f>SUM(AE274:AH274)</f>
        <v>0</v>
      </c>
      <c r="AE274" s="384"/>
      <c r="AF274" s="384"/>
      <c r="AG274" s="384"/>
      <c r="AH274" s="386"/>
      <c r="AI274" s="384">
        <f>SUM(AJ274:AM274)</f>
        <v>0</v>
      </c>
      <c r="AJ274" s="384"/>
      <c r="AK274" s="384"/>
      <c r="AL274" s="384"/>
      <c r="AM274" s="386"/>
      <c r="AN274" s="384">
        <v>0</v>
      </c>
      <c r="AO274" s="384"/>
      <c r="AP274" s="384"/>
      <c r="AQ274" s="384"/>
      <c r="AR274" s="386"/>
      <c r="AS274" s="384">
        <v>0</v>
      </c>
      <c r="AT274" s="384"/>
      <c r="AU274" s="384"/>
      <c r="AV274" s="384"/>
      <c r="AW274" s="386"/>
      <c r="AX274" s="384">
        <f>SUM(AY274:BB274)</f>
        <v>0</v>
      </c>
      <c r="AY274" s="384"/>
      <c r="AZ274" s="384"/>
      <c r="BA274" s="384"/>
      <c r="BB274" s="386"/>
      <c r="BC274" s="384">
        <f t="shared" si="294"/>
        <v>0</v>
      </c>
      <c r="BD274" s="384"/>
      <c r="BE274" s="384"/>
      <c r="BF274" s="384"/>
      <c r="BG274" s="384">
        <f t="shared" si="293"/>
        <v>0</v>
      </c>
      <c r="BH274" s="384"/>
      <c r="BI274" s="384"/>
      <c r="BJ274" s="384"/>
      <c r="BK274" s="384"/>
      <c r="BL274" s="384">
        <f>BM274+BN274+BO274+BP274</f>
        <v>0</v>
      </c>
      <c r="BM274" s="384"/>
      <c r="BN274" s="384"/>
      <c r="BO274" s="384"/>
      <c r="BP274" s="384"/>
      <c r="BQ274" s="384">
        <f>SUM(BR274:BU274)</f>
        <v>0</v>
      </c>
      <c r="BR274" s="384"/>
      <c r="BS274" s="384"/>
      <c r="BT274" s="384"/>
      <c r="BU274" s="386"/>
      <c r="BV274" s="384">
        <f>BC274-BQ274</f>
        <v>0</v>
      </c>
    </row>
    <row r="275" spans="1:74" ht="78.75" x14ac:dyDescent="0.25">
      <c r="A275" s="382" t="s">
        <v>36</v>
      </c>
      <c r="B275" s="383" t="s">
        <v>442</v>
      </c>
      <c r="C275" s="374">
        <v>310</v>
      </c>
      <c r="D275" s="425"/>
      <c r="E275" s="384">
        <f>E276</f>
        <v>115008251.75999999</v>
      </c>
      <c r="F275" s="384">
        <f t="shared" ref="F275:BV275" si="295">F276</f>
        <v>61310956.649999999</v>
      </c>
      <c r="G275" s="384">
        <f t="shared" si="295"/>
        <v>20062282.41</v>
      </c>
      <c r="H275" s="384">
        <f t="shared" si="295"/>
        <v>7045716.46</v>
      </c>
      <c r="I275" s="384">
        <f t="shared" si="295"/>
        <v>26589296.239999998</v>
      </c>
      <c r="J275" s="384">
        <f t="shared" si="295"/>
        <v>0</v>
      </c>
      <c r="K275" s="384">
        <f t="shared" si="295"/>
        <v>0</v>
      </c>
      <c r="L275" s="384">
        <f t="shared" si="295"/>
        <v>0</v>
      </c>
      <c r="M275" s="384">
        <f t="shared" si="295"/>
        <v>0</v>
      </c>
      <c r="N275" s="384">
        <f t="shared" si="295"/>
        <v>0</v>
      </c>
      <c r="O275" s="384">
        <f t="shared" si="295"/>
        <v>0</v>
      </c>
      <c r="P275" s="384">
        <f t="shared" si="295"/>
        <v>0</v>
      </c>
      <c r="Q275" s="384">
        <f t="shared" si="295"/>
        <v>0</v>
      </c>
      <c r="R275" s="384">
        <f t="shared" si="295"/>
        <v>0</v>
      </c>
      <c r="S275" s="384">
        <f t="shared" si="295"/>
        <v>0</v>
      </c>
      <c r="T275" s="384">
        <f t="shared" si="295"/>
        <v>0</v>
      </c>
      <c r="U275" s="384">
        <f t="shared" si="295"/>
        <v>0</v>
      </c>
      <c r="V275" s="384">
        <f t="shared" si="295"/>
        <v>0</v>
      </c>
      <c r="W275" s="384">
        <f t="shared" si="295"/>
        <v>0</v>
      </c>
      <c r="X275" s="384">
        <f t="shared" si="295"/>
        <v>0</v>
      </c>
      <c r="Y275" s="384">
        <f t="shared" si="295"/>
        <v>90098675.999999985</v>
      </c>
      <c r="Z275" s="384">
        <f t="shared" si="295"/>
        <v>62411352.869999997</v>
      </c>
      <c r="AA275" s="384">
        <f t="shared" si="295"/>
        <v>20641606.670000002</v>
      </c>
      <c r="AB275" s="384">
        <f t="shared" si="295"/>
        <v>7045716.46</v>
      </c>
      <c r="AC275" s="384">
        <f t="shared" si="295"/>
        <v>0</v>
      </c>
      <c r="AD275" s="384">
        <f t="shared" si="295"/>
        <v>24909575.759999998</v>
      </c>
      <c r="AE275" s="384">
        <f t="shared" si="295"/>
        <v>-1100396.22</v>
      </c>
      <c r="AF275" s="384">
        <f t="shared" si="295"/>
        <v>-579324.26</v>
      </c>
      <c r="AG275" s="384">
        <f t="shared" si="295"/>
        <v>0</v>
      </c>
      <c r="AH275" s="384">
        <f t="shared" si="295"/>
        <v>26589296.239999998</v>
      </c>
      <c r="AI275" s="384">
        <f t="shared" si="295"/>
        <v>0</v>
      </c>
      <c r="AJ275" s="384">
        <f t="shared" si="295"/>
        <v>0</v>
      </c>
      <c r="AK275" s="384">
        <f t="shared" si="295"/>
        <v>0</v>
      </c>
      <c r="AL275" s="384">
        <f t="shared" si="295"/>
        <v>0</v>
      </c>
      <c r="AM275" s="384">
        <f t="shared" si="295"/>
        <v>0</v>
      </c>
      <c r="AN275" s="384">
        <v>0</v>
      </c>
      <c r="AO275" s="384">
        <v>0</v>
      </c>
      <c r="AP275" s="384">
        <v>0</v>
      </c>
      <c r="AQ275" s="384">
        <v>0</v>
      </c>
      <c r="AR275" s="384">
        <v>0</v>
      </c>
      <c r="AS275" s="384">
        <v>0</v>
      </c>
      <c r="AT275" s="384">
        <v>0</v>
      </c>
      <c r="AU275" s="384">
        <v>0</v>
      </c>
      <c r="AV275" s="384">
        <v>0</v>
      </c>
      <c r="AW275" s="384">
        <v>0</v>
      </c>
      <c r="AX275" s="384">
        <f t="shared" si="295"/>
        <v>0</v>
      </c>
      <c r="AY275" s="384">
        <f t="shared" si="295"/>
        <v>0</v>
      </c>
      <c r="AZ275" s="384">
        <f t="shared" si="295"/>
        <v>0</v>
      </c>
      <c r="BA275" s="384">
        <f t="shared" si="295"/>
        <v>0</v>
      </c>
      <c r="BB275" s="384">
        <f t="shared" si="295"/>
        <v>0</v>
      </c>
      <c r="BC275" s="384">
        <f t="shared" si="295"/>
        <v>7.4505805969238281E-9</v>
      </c>
      <c r="BD275" s="384">
        <f t="shared" si="295"/>
        <v>2239.4</v>
      </c>
      <c r="BE275" s="384">
        <f>BE276</f>
        <v>2615.1</v>
      </c>
      <c r="BF275" s="384">
        <f>BF276</f>
        <v>2615.1</v>
      </c>
      <c r="BG275" s="384">
        <f t="shared" si="295"/>
        <v>0</v>
      </c>
      <c r="BH275" s="384">
        <f t="shared" si="295"/>
        <v>0</v>
      </c>
      <c r="BI275" s="384">
        <f t="shared" si="295"/>
        <v>0</v>
      </c>
      <c r="BJ275" s="384">
        <f t="shared" si="295"/>
        <v>0</v>
      </c>
      <c r="BK275" s="384">
        <f t="shared" si="295"/>
        <v>0</v>
      </c>
      <c r="BL275" s="384">
        <f t="shared" si="295"/>
        <v>0</v>
      </c>
      <c r="BM275" s="384">
        <f t="shared" si="295"/>
        <v>0</v>
      </c>
      <c r="BN275" s="384">
        <f t="shared" si="295"/>
        <v>0</v>
      </c>
      <c r="BO275" s="384">
        <f t="shared" si="295"/>
        <v>0</v>
      </c>
      <c r="BP275" s="384">
        <f t="shared" si="295"/>
        <v>0</v>
      </c>
      <c r="BQ275" s="384">
        <f t="shared" si="295"/>
        <v>0</v>
      </c>
      <c r="BR275" s="384">
        <f t="shared" si="295"/>
        <v>0</v>
      </c>
      <c r="BS275" s="384">
        <f t="shared" si="295"/>
        <v>0</v>
      </c>
      <c r="BT275" s="384">
        <f t="shared" si="295"/>
        <v>0</v>
      </c>
      <c r="BU275" s="384">
        <f t="shared" si="295"/>
        <v>0</v>
      </c>
      <c r="BV275" s="384">
        <f t="shared" si="295"/>
        <v>7.4505805969238281E-9</v>
      </c>
    </row>
    <row r="276" spans="1:74" ht="84" customHeight="1" x14ac:dyDescent="0.25">
      <c r="A276" s="382" t="s">
        <v>62</v>
      </c>
      <c r="B276" s="383" t="s">
        <v>443</v>
      </c>
      <c r="C276" s="374">
        <v>310</v>
      </c>
      <c r="D276" s="387" t="s">
        <v>648</v>
      </c>
      <c r="E276" s="384">
        <f>F276+G276+H276+I276</f>
        <v>115008251.75999999</v>
      </c>
      <c r="F276" s="384">
        <v>61310956.649999999</v>
      </c>
      <c r="G276" s="384">
        <v>20062282.41</v>
      </c>
      <c r="H276" s="384">
        <v>7045716.46</v>
      </c>
      <c r="I276" s="384">
        <v>26589296.239999998</v>
      </c>
      <c r="J276" s="384">
        <f>K276+L276+M276+N276</f>
        <v>0</v>
      </c>
      <c r="K276" s="384"/>
      <c r="L276" s="384"/>
      <c r="M276" s="384"/>
      <c r="N276" s="384"/>
      <c r="O276" s="384">
        <f>P276+Q276+R276+S276</f>
        <v>0</v>
      </c>
      <c r="P276" s="384"/>
      <c r="Q276" s="384"/>
      <c r="R276" s="384"/>
      <c r="S276" s="384"/>
      <c r="T276" s="384">
        <f>U276+V276+W276+X276</f>
        <v>0</v>
      </c>
      <c r="U276" s="384"/>
      <c r="V276" s="384"/>
      <c r="W276" s="384"/>
      <c r="X276" s="384"/>
      <c r="Y276" s="384">
        <f>Z276+AA276+AB276+AC276</f>
        <v>90098675.999999985</v>
      </c>
      <c r="Z276" s="384">
        <v>62411352.869999997</v>
      </c>
      <c r="AA276" s="384">
        <v>20641606.670000002</v>
      </c>
      <c r="AB276" s="384">
        <v>7045716.46</v>
      </c>
      <c r="AC276" s="384">
        <v>0</v>
      </c>
      <c r="AD276" s="384">
        <f>AE276+AF276+AG276+AH276</f>
        <v>24909575.759999998</v>
      </c>
      <c r="AE276" s="384">
        <v>-1100396.22</v>
      </c>
      <c r="AF276" s="384">
        <v>-579324.26</v>
      </c>
      <c r="AG276" s="384">
        <v>0</v>
      </c>
      <c r="AH276" s="386">
        <f>7600000+6700000+6614502.81+2200000+1500000+295072.95+1679720.48</f>
        <v>26589296.239999998</v>
      </c>
      <c r="AI276" s="384">
        <f>AJ276+AK276+AL276+AM276</f>
        <v>0</v>
      </c>
      <c r="AJ276" s="384"/>
      <c r="AK276" s="384"/>
      <c r="AL276" s="384"/>
      <c r="AM276" s="386"/>
      <c r="AN276" s="384">
        <v>0</v>
      </c>
      <c r="AO276" s="384"/>
      <c r="AP276" s="384"/>
      <c r="AQ276" s="384"/>
      <c r="AR276" s="386"/>
      <c r="AS276" s="384">
        <v>0</v>
      </c>
      <c r="AT276" s="384"/>
      <c r="AU276" s="384"/>
      <c r="AV276" s="384"/>
      <c r="AW276" s="386"/>
      <c r="AX276" s="384">
        <f>AY276+AZ276+BA276+BB276</f>
        <v>0</v>
      </c>
      <c r="AY276" s="384"/>
      <c r="AZ276" s="384"/>
      <c r="BA276" s="384"/>
      <c r="BB276" s="386"/>
      <c r="BC276" s="384">
        <f>E276-J276-O276-T276-Y276-AD276-AI276-AN276-AS276-AX276</f>
        <v>7.4505805969238281E-9</v>
      </c>
      <c r="BD276" s="384">
        <v>2239.4</v>
      </c>
      <c r="BE276" s="384">
        <v>2615.1</v>
      </c>
      <c r="BF276" s="384">
        <v>2615.1</v>
      </c>
      <c r="BG276" s="384">
        <f t="shared" si="293"/>
        <v>0</v>
      </c>
      <c r="BH276" s="384"/>
      <c r="BI276" s="384"/>
      <c r="BJ276" s="384"/>
      <c r="BK276" s="384"/>
      <c r="BL276" s="384">
        <f>BM276+BN276+BO276+BP276</f>
        <v>0</v>
      </c>
      <c r="BM276" s="384"/>
      <c r="BN276" s="384"/>
      <c r="BO276" s="384"/>
      <c r="BP276" s="384"/>
      <c r="BQ276" s="384">
        <f>BR276+BS276+BT276+BU276</f>
        <v>0</v>
      </c>
      <c r="BR276" s="384"/>
      <c r="BS276" s="384"/>
      <c r="BT276" s="384"/>
      <c r="BU276" s="386"/>
      <c r="BV276" s="384">
        <f>BC276-BQ276</f>
        <v>7.4505805969238281E-9</v>
      </c>
    </row>
    <row r="277" spans="1:74" ht="84" customHeight="1" x14ac:dyDescent="0.25">
      <c r="A277" s="382" t="s">
        <v>422</v>
      </c>
      <c r="B277" s="383" t="s">
        <v>453</v>
      </c>
      <c r="C277" s="426">
        <f>C278</f>
        <v>310</v>
      </c>
      <c r="D277" s="427"/>
      <c r="E277" s="384">
        <f t="shared" ref="E277:BV277" si="296">E278</f>
        <v>2035000</v>
      </c>
      <c r="F277" s="384">
        <f t="shared" si="296"/>
        <v>384721</v>
      </c>
      <c r="G277" s="384">
        <f t="shared" si="296"/>
        <v>0</v>
      </c>
      <c r="H277" s="384">
        <f t="shared" si="296"/>
        <v>130428.4</v>
      </c>
      <c r="I277" s="384">
        <f t="shared" si="296"/>
        <v>1519850.6</v>
      </c>
      <c r="J277" s="384">
        <f t="shared" si="296"/>
        <v>0</v>
      </c>
      <c r="K277" s="384">
        <f t="shared" si="296"/>
        <v>0</v>
      </c>
      <c r="L277" s="384">
        <f t="shared" si="296"/>
        <v>0</v>
      </c>
      <c r="M277" s="384">
        <f t="shared" si="296"/>
        <v>0</v>
      </c>
      <c r="N277" s="384">
        <f t="shared" si="296"/>
        <v>0</v>
      </c>
      <c r="O277" s="384">
        <f t="shared" si="296"/>
        <v>0</v>
      </c>
      <c r="P277" s="384">
        <f t="shared" si="296"/>
        <v>0</v>
      </c>
      <c r="Q277" s="384">
        <f t="shared" si="296"/>
        <v>0</v>
      </c>
      <c r="R277" s="384">
        <f t="shared" si="296"/>
        <v>0</v>
      </c>
      <c r="S277" s="384">
        <f t="shared" si="296"/>
        <v>0</v>
      </c>
      <c r="T277" s="384">
        <f t="shared" si="296"/>
        <v>0</v>
      </c>
      <c r="U277" s="384">
        <f t="shared" si="296"/>
        <v>0</v>
      </c>
      <c r="V277" s="384">
        <f t="shared" si="296"/>
        <v>0</v>
      </c>
      <c r="W277" s="384">
        <f t="shared" si="296"/>
        <v>0</v>
      </c>
      <c r="X277" s="384">
        <f t="shared" si="296"/>
        <v>0</v>
      </c>
      <c r="Y277" s="384">
        <f t="shared" si="296"/>
        <v>0</v>
      </c>
      <c r="Z277" s="384">
        <f t="shared" si="296"/>
        <v>0</v>
      </c>
      <c r="AA277" s="384">
        <f t="shared" si="296"/>
        <v>0</v>
      </c>
      <c r="AB277" s="384">
        <f t="shared" si="296"/>
        <v>0</v>
      </c>
      <c r="AC277" s="384">
        <f t="shared" si="296"/>
        <v>0</v>
      </c>
      <c r="AD277" s="384">
        <f t="shared" si="296"/>
        <v>2035000</v>
      </c>
      <c r="AE277" s="384">
        <f t="shared" si="296"/>
        <v>384721</v>
      </c>
      <c r="AF277" s="384">
        <f t="shared" si="296"/>
        <v>0</v>
      </c>
      <c r="AG277" s="384">
        <f t="shared" si="296"/>
        <v>130428.4</v>
      </c>
      <c r="AH277" s="384">
        <f t="shared" si="296"/>
        <v>1519850.6</v>
      </c>
      <c r="AI277" s="384">
        <f t="shared" si="296"/>
        <v>0</v>
      </c>
      <c r="AJ277" s="384">
        <f t="shared" si="296"/>
        <v>0</v>
      </c>
      <c r="AK277" s="384">
        <f t="shared" si="296"/>
        <v>0</v>
      </c>
      <c r="AL277" s="384">
        <f t="shared" si="296"/>
        <v>0</v>
      </c>
      <c r="AM277" s="384">
        <f t="shared" si="296"/>
        <v>0</v>
      </c>
      <c r="AN277" s="384">
        <v>0</v>
      </c>
      <c r="AO277" s="384">
        <v>0</v>
      </c>
      <c r="AP277" s="384">
        <v>0</v>
      </c>
      <c r="AQ277" s="384">
        <v>0</v>
      </c>
      <c r="AR277" s="384">
        <v>0</v>
      </c>
      <c r="AS277" s="384">
        <v>0</v>
      </c>
      <c r="AT277" s="384">
        <v>0</v>
      </c>
      <c r="AU277" s="384">
        <v>0</v>
      </c>
      <c r="AV277" s="384">
        <v>0</v>
      </c>
      <c r="AW277" s="384">
        <v>0</v>
      </c>
      <c r="AX277" s="384">
        <f t="shared" si="296"/>
        <v>0</v>
      </c>
      <c r="AY277" s="384">
        <f t="shared" si="296"/>
        <v>0</v>
      </c>
      <c r="AZ277" s="384">
        <f t="shared" si="296"/>
        <v>0</v>
      </c>
      <c r="BA277" s="384">
        <f t="shared" si="296"/>
        <v>0</v>
      </c>
      <c r="BB277" s="384">
        <f t="shared" si="296"/>
        <v>0</v>
      </c>
      <c r="BC277" s="384">
        <f>BC278</f>
        <v>0</v>
      </c>
      <c r="BD277" s="384">
        <f t="shared" si="296"/>
        <v>45.3</v>
      </c>
      <c r="BE277" s="384">
        <f>BE278</f>
        <v>62.4</v>
      </c>
      <c r="BF277" s="384">
        <f>BF278</f>
        <v>62.4</v>
      </c>
      <c r="BG277" s="384">
        <f t="shared" si="296"/>
        <v>0</v>
      </c>
      <c r="BH277" s="384">
        <f t="shared" si="296"/>
        <v>0</v>
      </c>
      <c r="BI277" s="384">
        <f t="shared" si="296"/>
        <v>0</v>
      </c>
      <c r="BJ277" s="384">
        <f t="shared" si="296"/>
        <v>0</v>
      </c>
      <c r="BK277" s="384">
        <f t="shared" si="296"/>
        <v>0</v>
      </c>
      <c r="BL277" s="384">
        <f t="shared" si="296"/>
        <v>0</v>
      </c>
      <c r="BM277" s="384">
        <f t="shared" si="296"/>
        <v>0</v>
      </c>
      <c r="BN277" s="384">
        <f t="shared" si="296"/>
        <v>0</v>
      </c>
      <c r="BO277" s="384">
        <f t="shared" si="296"/>
        <v>0</v>
      </c>
      <c r="BP277" s="384">
        <f t="shared" si="296"/>
        <v>0</v>
      </c>
      <c r="BQ277" s="384">
        <f t="shared" si="296"/>
        <v>0</v>
      </c>
      <c r="BR277" s="384">
        <f t="shared" si="296"/>
        <v>0</v>
      </c>
      <c r="BS277" s="384">
        <f t="shared" si="296"/>
        <v>0</v>
      </c>
      <c r="BT277" s="384">
        <f t="shared" si="296"/>
        <v>0</v>
      </c>
      <c r="BU277" s="384">
        <f t="shared" si="296"/>
        <v>0</v>
      </c>
      <c r="BV277" s="384">
        <f t="shared" si="296"/>
        <v>0</v>
      </c>
    </row>
    <row r="278" spans="1:74" ht="84" customHeight="1" x14ac:dyDescent="0.25">
      <c r="A278" s="382" t="s">
        <v>72</v>
      </c>
      <c r="B278" s="383" t="s">
        <v>444</v>
      </c>
      <c r="C278" s="374">
        <v>310</v>
      </c>
      <c r="D278" s="387" t="s">
        <v>649</v>
      </c>
      <c r="E278" s="384">
        <f>F278+G278+H278+I278</f>
        <v>2035000</v>
      </c>
      <c r="F278" s="384">
        <v>384721</v>
      </c>
      <c r="G278" s="384">
        <v>0</v>
      </c>
      <c r="H278" s="384">
        <v>130428.4</v>
      </c>
      <c r="I278" s="384">
        <v>1519850.6</v>
      </c>
      <c r="J278" s="384">
        <f>K278+L278+M278+N278</f>
        <v>0</v>
      </c>
      <c r="K278" s="384"/>
      <c r="L278" s="384"/>
      <c r="M278" s="384"/>
      <c r="N278" s="384"/>
      <c r="O278" s="384">
        <f>P278+Q278+R278+S278</f>
        <v>0</v>
      </c>
      <c r="P278" s="384"/>
      <c r="Q278" s="384"/>
      <c r="R278" s="384"/>
      <c r="S278" s="384"/>
      <c r="T278" s="384">
        <f>U278+V278+W278+X278</f>
        <v>0</v>
      </c>
      <c r="U278" s="384"/>
      <c r="V278" s="384"/>
      <c r="W278" s="384"/>
      <c r="X278" s="384"/>
      <c r="Y278" s="384">
        <f>Z278+AA278+AB278+AC278</f>
        <v>0</v>
      </c>
      <c r="Z278" s="384"/>
      <c r="AA278" s="384"/>
      <c r="AB278" s="384"/>
      <c r="AC278" s="384">
        <v>0</v>
      </c>
      <c r="AD278" s="384">
        <f>AE278+AF278+AG278+AH278</f>
        <v>2035000</v>
      </c>
      <c r="AE278" s="384">
        <v>384721</v>
      </c>
      <c r="AF278" s="384"/>
      <c r="AG278" s="384">
        <v>130428.4</v>
      </c>
      <c r="AH278" s="386">
        <v>1519850.6</v>
      </c>
      <c r="AI278" s="384">
        <f>AJ278+AK278+AL278+AM278</f>
        <v>0</v>
      </c>
      <c r="AJ278" s="384"/>
      <c r="AK278" s="384"/>
      <c r="AL278" s="384"/>
      <c r="AM278" s="386"/>
      <c r="AN278" s="384">
        <v>0</v>
      </c>
      <c r="AO278" s="384"/>
      <c r="AP278" s="384"/>
      <c r="AQ278" s="384"/>
      <c r="AR278" s="386"/>
      <c r="AS278" s="384">
        <v>0</v>
      </c>
      <c r="AT278" s="384"/>
      <c r="AU278" s="384"/>
      <c r="AV278" s="384"/>
      <c r="AW278" s="386"/>
      <c r="AX278" s="384">
        <f>AY278+AZ278+BA278+BB278</f>
        <v>0</v>
      </c>
      <c r="AY278" s="384"/>
      <c r="AZ278" s="384"/>
      <c r="BA278" s="384"/>
      <c r="BB278" s="386"/>
      <c r="BC278" s="384">
        <f>E278-J278-O278-T278-Y278-AD278-AI278-AN278-AS278-AX278</f>
        <v>0</v>
      </c>
      <c r="BD278" s="384">
        <v>45.3</v>
      </c>
      <c r="BE278" s="384">
        <v>62.4</v>
      </c>
      <c r="BF278" s="384">
        <v>62.4</v>
      </c>
      <c r="BG278" s="384">
        <f t="shared" si="293"/>
        <v>0</v>
      </c>
      <c r="BH278" s="384"/>
      <c r="BI278" s="384"/>
      <c r="BJ278" s="384"/>
      <c r="BK278" s="384"/>
      <c r="BL278" s="384">
        <f>BM278+BN278+BO278+BP278</f>
        <v>0</v>
      </c>
      <c r="BM278" s="384"/>
      <c r="BN278" s="384"/>
      <c r="BO278" s="384"/>
      <c r="BP278" s="384"/>
      <c r="BQ278" s="384">
        <f>BR278+BS278+BT278+BU278</f>
        <v>0</v>
      </c>
      <c r="BR278" s="384"/>
      <c r="BS278" s="384"/>
      <c r="BT278" s="384"/>
      <c r="BU278" s="386"/>
      <c r="BV278" s="384">
        <f>BC278-BQ278</f>
        <v>0</v>
      </c>
    </row>
    <row r="279" spans="1:74" ht="69.75" customHeight="1" x14ac:dyDescent="0.25">
      <c r="A279" s="428" t="s">
        <v>463</v>
      </c>
      <c r="B279" s="383" t="s">
        <v>766</v>
      </c>
      <c r="C279" s="374">
        <v>310</v>
      </c>
      <c r="D279" s="392"/>
      <c r="E279" s="384">
        <f>F279+G279+H279+I279</f>
        <v>1000000</v>
      </c>
      <c r="F279" s="384">
        <v>0</v>
      </c>
      <c r="G279" s="384">
        <v>0</v>
      </c>
      <c r="H279" s="384">
        <v>0</v>
      </c>
      <c r="I279" s="384">
        <v>1000000</v>
      </c>
      <c r="J279" s="384">
        <f>K279+L279+M279+N279</f>
        <v>0</v>
      </c>
      <c r="K279" s="384"/>
      <c r="L279" s="384"/>
      <c r="M279" s="384"/>
      <c r="N279" s="384"/>
      <c r="O279" s="384">
        <f>P279+Q279+R279+S279</f>
        <v>0</v>
      </c>
      <c r="P279" s="384"/>
      <c r="Q279" s="384"/>
      <c r="R279" s="384"/>
      <c r="S279" s="384"/>
      <c r="T279" s="384">
        <f>U279+V279+W279+X279</f>
        <v>0</v>
      </c>
      <c r="U279" s="384"/>
      <c r="V279" s="384"/>
      <c r="W279" s="384"/>
      <c r="X279" s="384"/>
      <c r="Y279" s="384">
        <f>Z279+AA279+AB279+AC279</f>
        <v>0</v>
      </c>
      <c r="Z279" s="384"/>
      <c r="AA279" s="384"/>
      <c r="AB279" s="384"/>
      <c r="AC279" s="384"/>
      <c r="AD279" s="384">
        <f>SUM(AE279:AH279)</f>
        <v>0</v>
      </c>
      <c r="AE279" s="384"/>
      <c r="AF279" s="384"/>
      <c r="AG279" s="384"/>
      <c r="AH279" s="386"/>
      <c r="AI279" s="384">
        <f>SUM(AJ279:AM279)</f>
        <v>0</v>
      </c>
      <c r="AJ279" s="384"/>
      <c r="AK279" s="384"/>
      <c r="AL279" s="384"/>
      <c r="AM279" s="386"/>
      <c r="AN279" s="384">
        <v>0</v>
      </c>
      <c r="AO279" s="384"/>
      <c r="AP279" s="384"/>
      <c r="AQ279" s="384"/>
      <c r="AR279" s="386"/>
      <c r="AS279" s="384">
        <v>0</v>
      </c>
      <c r="AT279" s="384"/>
      <c r="AU279" s="384"/>
      <c r="AV279" s="384"/>
      <c r="AW279" s="386"/>
      <c r="AX279" s="384">
        <f>SUM(AY279:BB279)</f>
        <v>1000000</v>
      </c>
      <c r="AY279" s="384">
        <v>0</v>
      </c>
      <c r="AZ279" s="384">
        <v>0</v>
      </c>
      <c r="BA279" s="384">
        <v>0</v>
      </c>
      <c r="BB279" s="386">
        <v>1000000</v>
      </c>
      <c r="BC279" s="384">
        <f>E279-J279-O279-T279-Y279-AD279-AI279-AN279-AS279-AX279</f>
        <v>0</v>
      </c>
      <c r="BD279" s="384">
        <v>36.9</v>
      </c>
      <c r="BE279" s="384" t="s">
        <v>328</v>
      </c>
      <c r="BF279" s="384" t="s">
        <v>328</v>
      </c>
      <c r="BG279" s="384">
        <f>BH279+BI279+BJ279+BK279</f>
        <v>0</v>
      </c>
      <c r="BH279" s="384">
        <v>0</v>
      </c>
      <c r="BI279" s="384">
        <v>0</v>
      </c>
      <c r="BJ279" s="384">
        <v>0</v>
      </c>
      <c r="BK279" s="384">
        <v>0</v>
      </c>
      <c r="BL279" s="384">
        <f>BM279+BN279+BO279+BP279</f>
        <v>0</v>
      </c>
      <c r="BM279" s="384">
        <f>F279-K279-P279-U279-Z279-AE279-BH279-AJ279-AO279</f>
        <v>0</v>
      </c>
      <c r="BN279" s="384">
        <f>G279-L279-Q279-V279-AA279-AF279-BI279-AK279-AP279</f>
        <v>0</v>
      </c>
      <c r="BO279" s="384">
        <f>H279-M279-R279-W279-AB279-AG279-BJ279-AL279-AQ279</f>
        <v>0</v>
      </c>
      <c r="BP279" s="384">
        <f>I279-N279-S279-X279-AC279-AH279-BK279-BB279-AM279-AR279-AW279</f>
        <v>0</v>
      </c>
      <c r="BQ279" s="384">
        <f>SUM(BR279:BU279)</f>
        <v>0</v>
      </c>
      <c r="BR279" s="384">
        <v>0</v>
      </c>
      <c r="BS279" s="384">
        <v>0</v>
      </c>
      <c r="BT279" s="384">
        <v>0</v>
      </c>
      <c r="BU279" s="386">
        <v>0</v>
      </c>
      <c r="BV279" s="384">
        <f>BC279-BQ279</f>
        <v>0</v>
      </c>
    </row>
    <row r="280" spans="1:74" ht="24" customHeight="1" x14ac:dyDescent="0.25">
      <c r="A280" s="408" t="s">
        <v>331</v>
      </c>
      <c r="B280" s="409"/>
      <c r="C280" s="374"/>
      <c r="D280" s="405" t="s">
        <v>328</v>
      </c>
      <c r="E280" s="384">
        <f>E264+E270+E275+E277+E279</f>
        <v>124472147.31999999</v>
      </c>
      <c r="F280" s="384">
        <f t="shared" ref="F280:BS280" si="297">F264+F270+F275+F277+F279</f>
        <v>61695677.649999999</v>
      </c>
      <c r="G280" s="384">
        <f t="shared" si="297"/>
        <v>20062282.41</v>
      </c>
      <c r="H280" s="384">
        <f t="shared" si="297"/>
        <v>7176144.8600000003</v>
      </c>
      <c r="I280" s="384">
        <f t="shared" si="297"/>
        <v>35538042.399999999</v>
      </c>
      <c r="J280" s="384">
        <f t="shared" si="297"/>
        <v>0</v>
      </c>
      <c r="K280" s="384">
        <f t="shared" si="297"/>
        <v>0</v>
      </c>
      <c r="L280" s="384">
        <f t="shared" si="297"/>
        <v>0</v>
      </c>
      <c r="M280" s="384">
        <f t="shared" si="297"/>
        <v>0</v>
      </c>
      <c r="N280" s="384">
        <f t="shared" si="297"/>
        <v>0</v>
      </c>
      <c r="O280" s="384">
        <f t="shared" si="297"/>
        <v>198594</v>
      </c>
      <c r="P280" s="384">
        <f t="shared" si="297"/>
        <v>0</v>
      </c>
      <c r="Q280" s="384">
        <f t="shared" si="297"/>
        <v>0</v>
      </c>
      <c r="R280" s="384">
        <f t="shared" si="297"/>
        <v>0</v>
      </c>
      <c r="S280" s="384">
        <f t="shared" si="297"/>
        <v>198594</v>
      </c>
      <c r="T280" s="384">
        <f t="shared" si="297"/>
        <v>2275716.58</v>
      </c>
      <c r="U280" s="384">
        <f t="shared" si="297"/>
        <v>0</v>
      </c>
      <c r="V280" s="384">
        <f t="shared" si="297"/>
        <v>0</v>
      </c>
      <c r="W280" s="384">
        <f t="shared" si="297"/>
        <v>0</v>
      </c>
      <c r="X280" s="384">
        <f t="shared" si="297"/>
        <v>2275716.58</v>
      </c>
      <c r="Y280" s="384">
        <f t="shared" si="297"/>
        <v>90344292.61999999</v>
      </c>
      <c r="Z280" s="384">
        <f t="shared" si="297"/>
        <v>62411352.869999997</v>
      </c>
      <c r="AA280" s="384">
        <f t="shared" si="297"/>
        <v>20641606.670000002</v>
      </c>
      <c r="AB280" s="384">
        <f t="shared" si="297"/>
        <v>7045716.46</v>
      </c>
      <c r="AC280" s="384">
        <f t="shared" si="297"/>
        <v>245616.62</v>
      </c>
      <c r="AD280" s="384">
        <f t="shared" si="297"/>
        <v>30653544.119999997</v>
      </c>
      <c r="AE280" s="384">
        <f t="shared" si="297"/>
        <v>-715675.22</v>
      </c>
      <c r="AF280" s="384">
        <f t="shared" si="297"/>
        <v>-579324.26</v>
      </c>
      <c r="AG280" s="384">
        <f t="shared" si="297"/>
        <v>130428.4</v>
      </c>
      <c r="AH280" s="384">
        <f t="shared" si="297"/>
        <v>31818115.199999999</v>
      </c>
      <c r="AI280" s="384">
        <f t="shared" si="297"/>
        <v>0</v>
      </c>
      <c r="AJ280" s="384">
        <f t="shared" si="297"/>
        <v>0</v>
      </c>
      <c r="AK280" s="384">
        <f t="shared" si="297"/>
        <v>0</v>
      </c>
      <c r="AL280" s="384">
        <f t="shared" si="297"/>
        <v>0</v>
      </c>
      <c r="AM280" s="384">
        <f t="shared" si="297"/>
        <v>0</v>
      </c>
      <c r="AN280" s="384">
        <f t="shared" si="297"/>
        <v>0</v>
      </c>
      <c r="AO280" s="384">
        <f t="shared" si="297"/>
        <v>0</v>
      </c>
      <c r="AP280" s="384">
        <f t="shared" si="297"/>
        <v>0</v>
      </c>
      <c r="AQ280" s="384">
        <f t="shared" si="297"/>
        <v>0</v>
      </c>
      <c r="AR280" s="384">
        <f t="shared" si="297"/>
        <v>0</v>
      </c>
      <c r="AS280" s="384">
        <f t="shared" si="297"/>
        <v>0</v>
      </c>
      <c r="AT280" s="384">
        <f t="shared" si="297"/>
        <v>0</v>
      </c>
      <c r="AU280" s="384">
        <f t="shared" si="297"/>
        <v>0</v>
      </c>
      <c r="AV280" s="384">
        <f t="shared" si="297"/>
        <v>0</v>
      </c>
      <c r="AW280" s="384">
        <f t="shared" si="297"/>
        <v>0</v>
      </c>
      <c r="AX280" s="384">
        <f t="shared" si="297"/>
        <v>1000000</v>
      </c>
      <c r="AY280" s="384">
        <f t="shared" si="297"/>
        <v>0</v>
      </c>
      <c r="AZ280" s="384">
        <f t="shared" si="297"/>
        <v>0</v>
      </c>
      <c r="BA280" s="384">
        <f t="shared" si="297"/>
        <v>0</v>
      </c>
      <c r="BB280" s="384">
        <f t="shared" si="297"/>
        <v>1000000</v>
      </c>
      <c r="BC280" s="384">
        <f t="shared" si="297"/>
        <v>7.4505805969238281E-9</v>
      </c>
      <c r="BD280" s="384">
        <f t="shared" si="297"/>
        <v>2321.6000000000004</v>
      </c>
      <c r="BE280" s="384">
        <f>BE281</f>
        <v>2677.5</v>
      </c>
      <c r="BF280" s="384">
        <f t="shared" ref="BF280" si="298">BF281</f>
        <v>2677.5</v>
      </c>
      <c r="BG280" s="384">
        <f t="shared" si="297"/>
        <v>0</v>
      </c>
      <c r="BH280" s="384">
        <f t="shared" si="297"/>
        <v>0</v>
      </c>
      <c r="BI280" s="384">
        <f t="shared" si="297"/>
        <v>0</v>
      </c>
      <c r="BJ280" s="384">
        <f t="shared" si="297"/>
        <v>0</v>
      </c>
      <c r="BK280" s="384">
        <f t="shared" si="297"/>
        <v>0</v>
      </c>
      <c r="BL280" s="384">
        <f t="shared" si="297"/>
        <v>0</v>
      </c>
      <c r="BM280" s="384">
        <f t="shared" si="297"/>
        <v>0</v>
      </c>
      <c r="BN280" s="384">
        <f t="shared" si="297"/>
        <v>0</v>
      </c>
      <c r="BO280" s="384">
        <f t="shared" si="297"/>
        <v>0</v>
      </c>
      <c r="BP280" s="384">
        <f t="shared" si="297"/>
        <v>0</v>
      </c>
      <c r="BQ280" s="384">
        <f t="shared" si="297"/>
        <v>0</v>
      </c>
      <c r="BR280" s="384">
        <f t="shared" si="297"/>
        <v>0</v>
      </c>
      <c r="BS280" s="384">
        <f t="shared" si="297"/>
        <v>0</v>
      </c>
      <c r="BT280" s="384">
        <f t="shared" ref="BT280:BV280" si="299">BT264+BT270+BT275+BT277+BT279</f>
        <v>0</v>
      </c>
      <c r="BU280" s="384">
        <f t="shared" si="299"/>
        <v>0</v>
      </c>
      <c r="BV280" s="384">
        <f t="shared" si="299"/>
        <v>7.4505805969238281E-9</v>
      </c>
    </row>
    <row r="281" spans="1:74" ht="24" customHeight="1" x14ac:dyDescent="0.25">
      <c r="A281" s="408" t="s">
        <v>194</v>
      </c>
      <c r="B281" s="409"/>
      <c r="C281" s="374">
        <v>310</v>
      </c>
      <c r="D281" s="405" t="s">
        <v>328</v>
      </c>
      <c r="E281" s="384">
        <f>E275+E277</f>
        <v>117043251.75999999</v>
      </c>
      <c r="F281" s="384">
        <f>F275+F277</f>
        <v>61695677.649999999</v>
      </c>
      <c r="G281" s="384">
        <f t="shared" ref="G281:BC281" si="300">G275+G277</f>
        <v>20062282.41</v>
      </c>
      <c r="H281" s="384">
        <f t="shared" si="300"/>
        <v>7176144.8600000003</v>
      </c>
      <c r="I281" s="384">
        <f t="shared" si="300"/>
        <v>28109146.84</v>
      </c>
      <c r="J281" s="384">
        <f t="shared" si="300"/>
        <v>0</v>
      </c>
      <c r="K281" s="384">
        <f t="shared" si="300"/>
        <v>0</v>
      </c>
      <c r="L281" s="384">
        <f t="shared" si="300"/>
        <v>0</v>
      </c>
      <c r="M281" s="384">
        <f t="shared" si="300"/>
        <v>0</v>
      </c>
      <c r="N281" s="384">
        <f t="shared" si="300"/>
        <v>0</v>
      </c>
      <c r="O281" s="384">
        <f t="shared" si="300"/>
        <v>0</v>
      </c>
      <c r="P281" s="384">
        <f t="shared" si="300"/>
        <v>0</v>
      </c>
      <c r="Q281" s="384">
        <f t="shared" si="300"/>
        <v>0</v>
      </c>
      <c r="R281" s="384">
        <f t="shared" si="300"/>
        <v>0</v>
      </c>
      <c r="S281" s="384">
        <f t="shared" si="300"/>
        <v>0</v>
      </c>
      <c r="T281" s="384">
        <f t="shared" si="300"/>
        <v>0</v>
      </c>
      <c r="U281" s="384">
        <f t="shared" si="300"/>
        <v>0</v>
      </c>
      <c r="V281" s="384">
        <f t="shared" si="300"/>
        <v>0</v>
      </c>
      <c r="W281" s="384">
        <f t="shared" si="300"/>
        <v>0</v>
      </c>
      <c r="X281" s="384">
        <f t="shared" si="300"/>
        <v>0</v>
      </c>
      <c r="Y281" s="384">
        <f t="shared" si="300"/>
        <v>90098675.999999985</v>
      </c>
      <c r="Z281" s="384">
        <f t="shared" si="300"/>
        <v>62411352.869999997</v>
      </c>
      <c r="AA281" s="384">
        <f t="shared" si="300"/>
        <v>20641606.670000002</v>
      </c>
      <c r="AB281" s="384">
        <f t="shared" si="300"/>
        <v>7045716.46</v>
      </c>
      <c r="AC281" s="384">
        <f t="shared" si="300"/>
        <v>0</v>
      </c>
      <c r="AD281" s="384">
        <f t="shared" si="300"/>
        <v>26944575.759999998</v>
      </c>
      <c r="AE281" s="384">
        <f t="shared" si="300"/>
        <v>-715675.22</v>
      </c>
      <c r="AF281" s="384">
        <f t="shared" si="300"/>
        <v>-579324.26</v>
      </c>
      <c r="AG281" s="384">
        <f t="shared" si="300"/>
        <v>130428.4</v>
      </c>
      <c r="AH281" s="384">
        <f t="shared" si="300"/>
        <v>28109146.84</v>
      </c>
      <c r="AI281" s="384">
        <f t="shared" si="300"/>
        <v>0</v>
      </c>
      <c r="AJ281" s="384">
        <f t="shared" si="300"/>
        <v>0</v>
      </c>
      <c r="AK281" s="384">
        <f t="shared" si="300"/>
        <v>0</v>
      </c>
      <c r="AL281" s="384">
        <f t="shared" si="300"/>
        <v>0</v>
      </c>
      <c r="AM281" s="384">
        <f t="shared" si="300"/>
        <v>0</v>
      </c>
      <c r="AN281" s="384">
        <f t="shared" si="300"/>
        <v>0</v>
      </c>
      <c r="AO281" s="384">
        <f t="shared" si="300"/>
        <v>0</v>
      </c>
      <c r="AP281" s="384">
        <f t="shared" si="300"/>
        <v>0</v>
      </c>
      <c r="AQ281" s="384">
        <f t="shared" si="300"/>
        <v>0</v>
      </c>
      <c r="AR281" s="384">
        <f t="shared" si="300"/>
        <v>0</v>
      </c>
      <c r="AS281" s="384">
        <f t="shared" si="300"/>
        <v>0</v>
      </c>
      <c r="AT281" s="384">
        <f t="shared" si="300"/>
        <v>0</v>
      </c>
      <c r="AU281" s="384">
        <f t="shared" si="300"/>
        <v>0</v>
      </c>
      <c r="AV281" s="384">
        <f t="shared" si="300"/>
        <v>0</v>
      </c>
      <c r="AW281" s="384">
        <f t="shared" si="300"/>
        <v>0</v>
      </c>
      <c r="AX281" s="384">
        <f t="shared" si="300"/>
        <v>0</v>
      </c>
      <c r="AY281" s="384">
        <f t="shared" si="300"/>
        <v>0</v>
      </c>
      <c r="AZ281" s="384">
        <f t="shared" si="300"/>
        <v>0</v>
      </c>
      <c r="BA281" s="384">
        <f t="shared" si="300"/>
        <v>0</v>
      </c>
      <c r="BB281" s="384">
        <f t="shared" si="300"/>
        <v>0</v>
      </c>
      <c r="BC281" s="384">
        <f t="shared" si="300"/>
        <v>7.4505805969238281E-9</v>
      </c>
      <c r="BD281" s="384">
        <f>BD275+BD277</f>
        <v>2284.7000000000003</v>
      </c>
      <c r="BE281" s="384">
        <f t="shared" ref="BE281:BV281" si="301">BE275+BE277</f>
        <v>2677.5</v>
      </c>
      <c r="BF281" s="384">
        <f t="shared" si="301"/>
        <v>2677.5</v>
      </c>
      <c r="BG281" s="384">
        <f t="shared" si="301"/>
        <v>0</v>
      </c>
      <c r="BH281" s="384">
        <f t="shared" si="301"/>
        <v>0</v>
      </c>
      <c r="BI281" s="384">
        <f t="shared" si="301"/>
        <v>0</v>
      </c>
      <c r="BJ281" s="384">
        <f t="shared" si="301"/>
        <v>0</v>
      </c>
      <c r="BK281" s="384">
        <f t="shared" si="301"/>
        <v>0</v>
      </c>
      <c r="BL281" s="384">
        <f t="shared" si="301"/>
        <v>0</v>
      </c>
      <c r="BM281" s="384">
        <f t="shared" si="301"/>
        <v>0</v>
      </c>
      <c r="BN281" s="384">
        <f t="shared" si="301"/>
        <v>0</v>
      </c>
      <c r="BO281" s="384">
        <f t="shared" si="301"/>
        <v>0</v>
      </c>
      <c r="BP281" s="384">
        <f t="shared" si="301"/>
        <v>0</v>
      </c>
      <c r="BQ281" s="384">
        <f t="shared" si="301"/>
        <v>0</v>
      </c>
      <c r="BR281" s="384">
        <f t="shared" si="301"/>
        <v>0</v>
      </c>
      <c r="BS281" s="384">
        <f t="shared" si="301"/>
        <v>0</v>
      </c>
      <c r="BT281" s="384">
        <f t="shared" si="301"/>
        <v>0</v>
      </c>
      <c r="BU281" s="384">
        <f t="shared" si="301"/>
        <v>0</v>
      </c>
      <c r="BV281" s="384">
        <f t="shared" si="301"/>
        <v>7.4505805969238281E-9</v>
      </c>
    </row>
    <row r="282" spans="1:74" ht="24" customHeight="1" x14ac:dyDescent="0.25">
      <c r="A282" s="408" t="s">
        <v>194</v>
      </c>
      <c r="B282" s="409"/>
      <c r="C282" s="374">
        <v>226</v>
      </c>
      <c r="D282" s="405" t="s">
        <v>328</v>
      </c>
      <c r="E282" s="384">
        <f>SUM(E265:E269,E271:E274)</f>
        <v>6428895.5600000005</v>
      </c>
      <c r="F282" s="384">
        <f t="shared" ref="F282:BC282" si="302">SUM(F265:F269,F271:F274)</f>
        <v>0</v>
      </c>
      <c r="G282" s="384">
        <f t="shared" si="302"/>
        <v>0</v>
      </c>
      <c r="H282" s="384">
        <f t="shared" si="302"/>
        <v>0</v>
      </c>
      <c r="I282" s="384">
        <f t="shared" si="302"/>
        <v>6428895.5600000005</v>
      </c>
      <c r="J282" s="384">
        <f t="shared" si="302"/>
        <v>0</v>
      </c>
      <c r="K282" s="384">
        <f t="shared" si="302"/>
        <v>0</v>
      </c>
      <c r="L282" s="384">
        <f t="shared" si="302"/>
        <v>0</v>
      </c>
      <c r="M282" s="384">
        <f t="shared" si="302"/>
        <v>0</v>
      </c>
      <c r="N282" s="384">
        <f t="shared" si="302"/>
        <v>0</v>
      </c>
      <c r="O282" s="384">
        <f t="shared" si="302"/>
        <v>198594</v>
      </c>
      <c r="P282" s="384">
        <f t="shared" si="302"/>
        <v>0</v>
      </c>
      <c r="Q282" s="384">
        <f t="shared" si="302"/>
        <v>0</v>
      </c>
      <c r="R282" s="384">
        <f t="shared" si="302"/>
        <v>0</v>
      </c>
      <c r="S282" s="384">
        <f t="shared" si="302"/>
        <v>198594</v>
      </c>
      <c r="T282" s="384">
        <f t="shared" si="302"/>
        <v>2275716.58</v>
      </c>
      <c r="U282" s="384">
        <f t="shared" si="302"/>
        <v>0</v>
      </c>
      <c r="V282" s="384">
        <f t="shared" si="302"/>
        <v>0</v>
      </c>
      <c r="W282" s="384">
        <f t="shared" si="302"/>
        <v>0</v>
      </c>
      <c r="X282" s="384">
        <f t="shared" si="302"/>
        <v>2275716.58</v>
      </c>
      <c r="Y282" s="384">
        <f t="shared" si="302"/>
        <v>245616.62</v>
      </c>
      <c r="Z282" s="384">
        <f t="shared" si="302"/>
        <v>0</v>
      </c>
      <c r="AA282" s="384">
        <f t="shared" si="302"/>
        <v>0</v>
      </c>
      <c r="AB282" s="384">
        <f t="shared" si="302"/>
        <v>0</v>
      </c>
      <c r="AC282" s="384">
        <f t="shared" si="302"/>
        <v>245616.62</v>
      </c>
      <c r="AD282" s="384">
        <f t="shared" si="302"/>
        <v>3708968.3600000003</v>
      </c>
      <c r="AE282" s="384">
        <f t="shared" si="302"/>
        <v>0</v>
      </c>
      <c r="AF282" s="384">
        <f t="shared" si="302"/>
        <v>0</v>
      </c>
      <c r="AG282" s="384">
        <f t="shared" si="302"/>
        <v>0</v>
      </c>
      <c r="AH282" s="384">
        <f t="shared" si="302"/>
        <v>3708968.3600000003</v>
      </c>
      <c r="AI282" s="384">
        <f t="shared" si="302"/>
        <v>0</v>
      </c>
      <c r="AJ282" s="384">
        <f t="shared" si="302"/>
        <v>0</v>
      </c>
      <c r="AK282" s="384">
        <f t="shared" si="302"/>
        <v>0</v>
      </c>
      <c r="AL282" s="384">
        <f t="shared" si="302"/>
        <v>0</v>
      </c>
      <c r="AM282" s="384">
        <f t="shared" si="302"/>
        <v>0</v>
      </c>
      <c r="AN282" s="384">
        <f t="shared" si="302"/>
        <v>0</v>
      </c>
      <c r="AO282" s="384">
        <f t="shared" si="302"/>
        <v>0</v>
      </c>
      <c r="AP282" s="384">
        <f t="shared" si="302"/>
        <v>0</v>
      </c>
      <c r="AQ282" s="384">
        <f t="shared" si="302"/>
        <v>0</v>
      </c>
      <c r="AR282" s="384">
        <f t="shared" si="302"/>
        <v>0</v>
      </c>
      <c r="AS282" s="384">
        <f t="shared" si="302"/>
        <v>0</v>
      </c>
      <c r="AT282" s="384">
        <f t="shared" si="302"/>
        <v>0</v>
      </c>
      <c r="AU282" s="384">
        <f t="shared" si="302"/>
        <v>0</v>
      </c>
      <c r="AV282" s="384">
        <f t="shared" si="302"/>
        <v>0</v>
      </c>
      <c r="AW282" s="384">
        <f t="shared" si="302"/>
        <v>0</v>
      </c>
      <c r="AX282" s="384">
        <f t="shared" si="302"/>
        <v>0</v>
      </c>
      <c r="AY282" s="384">
        <f t="shared" si="302"/>
        <v>0</v>
      </c>
      <c r="AZ282" s="384">
        <f t="shared" si="302"/>
        <v>0</v>
      </c>
      <c r="BA282" s="384">
        <f t="shared" si="302"/>
        <v>0</v>
      </c>
      <c r="BB282" s="384">
        <f t="shared" si="302"/>
        <v>0</v>
      </c>
      <c r="BC282" s="384">
        <f t="shared" si="302"/>
        <v>0</v>
      </c>
      <c r="BD282" s="384" t="s">
        <v>328</v>
      </c>
      <c r="BE282" s="384" t="s">
        <v>328</v>
      </c>
      <c r="BF282" s="384" t="s">
        <v>328</v>
      </c>
      <c r="BG282" s="384">
        <f t="shared" ref="BG282:BV282" si="303">SUM(BG265:BG269,BG271:BG274)</f>
        <v>0</v>
      </c>
      <c r="BH282" s="384">
        <f t="shared" si="303"/>
        <v>0</v>
      </c>
      <c r="BI282" s="384">
        <f t="shared" si="303"/>
        <v>0</v>
      </c>
      <c r="BJ282" s="384">
        <f t="shared" si="303"/>
        <v>0</v>
      </c>
      <c r="BK282" s="384">
        <f t="shared" si="303"/>
        <v>0</v>
      </c>
      <c r="BL282" s="384">
        <f t="shared" si="303"/>
        <v>0</v>
      </c>
      <c r="BM282" s="384">
        <f t="shared" si="303"/>
        <v>0</v>
      </c>
      <c r="BN282" s="384">
        <f t="shared" si="303"/>
        <v>0</v>
      </c>
      <c r="BO282" s="384">
        <f t="shared" si="303"/>
        <v>0</v>
      </c>
      <c r="BP282" s="384">
        <f t="shared" si="303"/>
        <v>0</v>
      </c>
      <c r="BQ282" s="384">
        <f t="shared" si="303"/>
        <v>0</v>
      </c>
      <c r="BR282" s="384">
        <f t="shared" si="303"/>
        <v>0</v>
      </c>
      <c r="BS282" s="384">
        <f t="shared" si="303"/>
        <v>0</v>
      </c>
      <c r="BT282" s="384">
        <f t="shared" si="303"/>
        <v>0</v>
      </c>
      <c r="BU282" s="384">
        <f t="shared" si="303"/>
        <v>0</v>
      </c>
      <c r="BV282" s="384">
        <f t="shared" si="303"/>
        <v>0</v>
      </c>
    </row>
    <row r="283" spans="1:74" ht="24" customHeight="1" x14ac:dyDescent="0.25">
      <c r="A283" s="408" t="s">
        <v>194</v>
      </c>
      <c r="B283" s="409"/>
      <c r="C283" s="374">
        <v>310</v>
      </c>
      <c r="D283" s="405" t="s">
        <v>328</v>
      </c>
      <c r="E283" s="384">
        <f>E279</f>
        <v>1000000</v>
      </c>
      <c r="F283" s="384">
        <f t="shared" ref="F283:BS283" si="304">F279</f>
        <v>0</v>
      </c>
      <c r="G283" s="384">
        <f t="shared" si="304"/>
        <v>0</v>
      </c>
      <c r="H283" s="384">
        <f t="shared" si="304"/>
        <v>0</v>
      </c>
      <c r="I283" s="384">
        <f>I279</f>
        <v>1000000</v>
      </c>
      <c r="J283" s="384">
        <f t="shared" si="304"/>
        <v>0</v>
      </c>
      <c r="K283" s="384">
        <f t="shared" si="304"/>
        <v>0</v>
      </c>
      <c r="L283" s="384">
        <f t="shared" si="304"/>
        <v>0</v>
      </c>
      <c r="M283" s="384">
        <f t="shared" si="304"/>
        <v>0</v>
      </c>
      <c r="N283" s="384">
        <f t="shared" si="304"/>
        <v>0</v>
      </c>
      <c r="O283" s="384">
        <f t="shared" si="304"/>
        <v>0</v>
      </c>
      <c r="P283" s="384">
        <f t="shared" si="304"/>
        <v>0</v>
      </c>
      <c r="Q283" s="384">
        <f t="shared" si="304"/>
        <v>0</v>
      </c>
      <c r="R283" s="384">
        <f t="shared" si="304"/>
        <v>0</v>
      </c>
      <c r="S283" s="384">
        <f t="shared" si="304"/>
        <v>0</v>
      </c>
      <c r="T283" s="384">
        <f t="shared" si="304"/>
        <v>0</v>
      </c>
      <c r="U283" s="384">
        <f t="shared" si="304"/>
        <v>0</v>
      </c>
      <c r="V283" s="384">
        <f t="shared" si="304"/>
        <v>0</v>
      </c>
      <c r="W283" s="384">
        <f t="shared" si="304"/>
        <v>0</v>
      </c>
      <c r="X283" s="384">
        <f t="shared" si="304"/>
        <v>0</v>
      </c>
      <c r="Y283" s="384">
        <f t="shared" si="304"/>
        <v>0</v>
      </c>
      <c r="Z283" s="384">
        <f t="shared" si="304"/>
        <v>0</v>
      </c>
      <c r="AA283" s="384">
        <f t="shared" si="304"/>
        <v>0</v>
      </c>
      <c r="AB283" s="384">
        <f t="shared" si="304"/>
        <v>0</v>
      </c>
      <c r="AC283" s="384">
        <f t="shared" si="304"/>
        <v>0</v>
      </c>
      <c r="AD283" s="384">
        <f t="shared" si="304"/>
        <v>0</v>
      </c>
      <c r="AE283" s="384">
        <f t="shared" si="304"/>
        <v>0</v>
      </c>
      <c r="AF283" s="384">
        <f t="shared" si="304"/>
        <v>0</v>
      </c>
      <c r="AG283" s="384">
        <f t="shared" si="304"/>
        <v>0</v>
      </c>
      <c r="AH283" s="384">
        <f t="shared" si="304"/>
        <v>0</v>
      </c>
      <c r="AI283" s="384">
        <f t="shared" si="304"/>
        <v>0</v>
      </c>
      <c r="AJ283" s="384">
        <f t="shared" si="304"/>
        <v>0</v>
      </c>
      <c r="AK283" s="384">
        <f t="shared" si="304"/>
        <v>0</v>
      </c>
      <c r="AL283" s="384">
        <f t="shared" si="304"/>
        <v>0</v>
      </c>
      <c r="AM283" s="384">
        <f t="shared" si="304"/>
        <v>0</v>
      </c>
      <c r="AN283" s="384">
        <f t="shared" si="304"/>
        <v>0</v>
      </c>
      <c r="AO283" s="384">
        <f t="shared" si="304"/>
        <v>0</v>
      </c>
      <c r="AP283" s="384">
        <f t="shared" si="304"/>
        <v>0</v>
      </c>
      <c r="AQ283" s="384">
        <f t="shared" si="304"/>
        <v>0</v>
      </c>
      <c r="AR283" s="384">
        <f t="shared" si="304"/>
        <v>0</v>
      </c>
      <c r="AS283" s="384">
        <f t="shared" si="304"/>
        <v>0</v>
      </c>
      <c r="AT283" s="384">
        <f t="shared" si="304"/>
        <v>0</v>
      </c>
      <c r="AU283" s="384">
        <f t="shared" si="304"/>
        <v>0</v>
      </c>
      <c r="AV283" s="384">
        <f t="shared" si="304"/>
        <v>0</v>
      </c>
      <c r="AW283" s="384">
        <f t="shared" si="304"/>
        <v>0</v>
      </c>
      <c r="AX283" s="384">
        <f t="shared" si="304"/>
        <v>1000000</v>
      </c>
      <c r="AY283" s="384">
        <f t="shared" si="304"/>
        <v>0</v>
      </c>
      <c r="AZ283" s="384">
        <f t="shared" si="304"/>
        <v>0</v>
      </c>
      <c r="BA283" s="384">
        <f t="shared" si="304"/>
        <v>0</v>
      </c>
      <c r="BB283" s="384">
        <f t="shared" si="304"/>
        <v>1000000</v>
      </c>
      <c r="BC283" s="384">
        <f t="shared" si="304"/>
        <v>0</v>
      </c>
      <c r="BD283" s="384">
        <f>BD279</f>
        <v>36.9</v>
      </c>
      <c r="BE283" s="384" t="str">
        <f t="shared" si="304"/>
        <v>Х</v>
      </c>
      <c r="BF283" s="384" t="str">
        <f t="shared" si="304"/>
        <v>Х</v>
      </c>
      <c r="BG283" s="384">
        <f t="shared" si="304"/>
        <v>0</v>
      </c>
      <c r="BH283" s="384">
        <f t="shared" si="304"/>
        <v>0</v>
      </c>
      <c r="BI283" s="384">
        <f t="shared" si="304"/>
        <v>0</v>
      </c>
      <c r="BJ283" s="384">
        <f t="shared" si="304"/>
        <v>0</v>
      </c>
      <c r="BK283" s="384">
        <f t="shared" si="304"/>
        <v>0</v>
      </c>
      <c r="BL283" s="384">
        <f t="shared" si="304"/>
        <v>0</v>
      </c>
      <c r="BM283" s="384">
        <f t="shared" si="304"/>
        <v>0</v>
      </c>
      <c r="BN283" s="384">
        <f t="shared" si="304"/>
        <v>0</v>
      </c>
      <c r="BO283" s="384">
        <f t="shared" si="304"/>
        <v>0</v>
      </c>
      <c r="BP283" s="384">
        <f t="shared" si="304"/>
        <v>0</v>
      </c>
      <c r="BQ283" s="384">
        <f t="shared" si="304"/>
        <v>0</v>
      </c>
      <c r="BR283" s="384">
        <f t="shared" si="304"/>
        <v>0</v>
      </c>
      <c r="BS283" s="384">
        <f t="shared" si="304"/>
        <v>0</v>
      </c>
      <c r="BT283" s="384">
        <f t="shared" ref="BT283:BV283" si="305">BT279</f>
        <v>0</v>
      </c>
      <c r="BU283" s="384">
        <f t="shared" si="305"/>
        <v>0</v>
      </c>
      <c r="BV283" s="384">
        <f t="shared" si="305"/>
        <v>0</v>
      </c>
    </row>
    <row r="284" spans="1:74" ht="24" customHeight="1" x14ac:dyDescent="0.25">
      <c r="B284" s="429" t="s">
        <v>438</v>
      </c>
      <c r="C284" s="430"/>
      <c r="D284" s="431"/>
      <c r="E284" s="430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  <c r="Q284" s="430"/>
      <c r="R284" s="430"/>
      <c r="S284" s="430"/>
      <c r="T284" s="430"/>
      <c r="U284" s="430"/>
      <c r="V284" s="430"/>
      <c r="W284" s="430"/>
      <c r="X284" s="430"/>
      <c r="Y284" s="430"/>
      <c r="Z284" s="430"/>
      <c r="AA284" s="430"/>
      <c r="AB284" s="430"/>
      <c r="AC284" s="430"/>
      <c r="AD284" s="430"/>
      <c r="AE284" s="430"/>
      <c r="AF284" s="430"/>
      <c r="AG284" s="430"/>
      <c r="AH284" s="430"/>
      <c r="AI284" s="430"/>
      <c r="AJ284" s="430"/>
      <c r="AK284" s="430"/>
      <c r="AL284" s="430"/>
      <c r="AM284" s="430"/>
      <c r="AN284" s="430"/>
      <c r="AO284" s="430"/>
      <c r="AP284" s="430"/>
      <c r="AQ284" s="430"/>
      <c r="AR284" s="430"/>
      <c r="AS284" s="430"/>
      <c r="AT284" s="430"/>
      <c r="AU284" s="430"/>
      <c r="AV284" s="430"/>
      <c r="AW284" s="430"/>
      <c r="AX284" s="430"/>
      <c r="AY284" s="430"/>
      <c r="AZ284" s="430"/>
      <c r="BA284" s="430"/>
      <c r="BB284" s="430"/>
      <c r="BC284" s="430"/>
      <c r="BD284" s="430"/>
      <c r="BE284" s="430"/>
      <c r="BF284" s="430"/>
      <c r="BG284" s="430"/>
      <c r="BH284" s="430"/>
      <c r="BI284" s="430"/>
      <c r="BJ284" s="430"/>
      <c r="BK284" s="430"/>
      <c r="BL284" s="430"/>
      <c r="BM284" s="430"/>
      <c r="BN284" s="430"/>
      <c r="BO284" s="430"/>
      <c r="BP284" s="430"/>
      <c r="BQ284" s="430"/>
      <c r="BR284" s="430"/>
      <c r="BS284" s="430"/>
      <c r="BT284" s="430"/>
      <c r="BU284" s="430"/>
      <c r="BV284" s="382"/>
    </row>
    <row r="285" spans="1:74" ht="27.6" customHeight="1" x14ac:dyDescent="0.25">
      <c r="A285" s="382" t="s">
        <v>34</v>
      </c>
      <c r="B285" s="432" t="s">
        <v>280</v>
      </c>
      <c r="C285" s="382"/>
      <c r="D285" s="432"/>
      <c r="E285" s="384">
        <f>SUM(E286:E288)</f>
        <v>274055.02</v>
      </c>
      <c r="F285" s="384">
        <f t="shared" ref="F285:BD285" si="306">SUM(F286:F288)</f>
        <v>0</v>
      </c>
      <c r="G285" s="384">
        <f t="shared" si="306"/>
        <v>0</v>
      </c>
      <c r="H285" s="384">
        <f t="shared" si="306"/>
        <v>0</v>
      </c>
      <c r="I285" s="384">
        <f t="shared" si="306"/>
        <v>274055.02</v>
      </c>
      <c r="J285" s="384">
        <f t="shared" si="306"/>
        <v>0</v>
      </c>
      <c r="K285" s="384">
        <f t="shared" si="306"/>
        <v>0</v>
      </c>
      <c r="L285" s="384">
        <f t="shared" si="306"/>
        <v>0</v>
      </c>
      <c r="M285" s="384">
        <f t="shared" si="306"/>
        <v>0</v>
      </c>
      <c r="N285" s="384">
        <f t="shared" si="306"/>
        <v>0</v>
      </c>
      <c r="O285" s="384">
        <f t="shared" si="306"/>
        <v>99297</v>
      </c>
      <c r="P285" s="384">
        <f t="shared" si="306"/>
        <v>0</v>
      </c>
      <c r="Q285" s="384">
        <f t="shared" si="306"/>
        <v>0</v>
      </c>
      <c r="R285" s="384">
        <f t="shared" si="306"/>
        <v>0</v>
      </c>
      <c r="S285" s="384">
        <f t="shared" si="306"/>
        <v>99297</v>
      </c>
      <c r="T285" s="384">
        <f t="shared" si="306"/>
        <v>174758.02</v>
      </c>
      <c r="U285" s="384">
        <f t="shared" si="306"/>
        <v>0</v>
      </c>
      <c r="V285" s="384">
        <f t="shared" si="306"/>
        <v>0</v>
      </c>
      <c r="W285" s="384">
        <f t="shared" si="306"/>
        <v>0</v>
      </c>
      <c r="X285" s="384">
        <f t="shared" si="306"/>
        <v>174758.02</v>
      </c>
      <c r="Y285" s="384">
        <f t="shared" si="306"/>
        <v>0</v>
      </c>
      <c r="Z285" s="384">
        <f t="shared" si="306"/>
        <v>0</v>
      </c>
      <c r="AA285" s="384">
        <f t="shared" si="306"/>
        <v>0</v>
      </c>
      <c r="AB285" s="384">
        <f t="shared" si="306"/>
        <v>0</v>
      </c>
      <c r="AC285" s="384">
        <f t="shared" si="306"/>
        <v>0</v>
      </c>
      <c r="AD285" s="384">
        <f t="shared" si="306"/>
        <v>0</v>
      </c>
      <c r="AE285" s="384">
        <f t="shared" si="306"/>
        <v>0</v>
      </c>
      <c r="AF285" s="384">
        <f t="shared" si="306"/>
        <v>0</v>
      </c>
      <c r="AG285" s="384">
        <f t="shared" si="306"/>
        <v>0</v>
      </c>
      <c r="AH285" s="386">
        <f t="shared" si="306"/>
        <v>0</v>
      </c>
      <c r="AI285" s="384">
        <f t="shared" si="306"/>
        <v>0</v>
      </c>
      <c r="AJ285" s="384">
        <f t="shared" si="306"/>
        <v>0</v>
      </c>
      <c r="AK285" s="384">
        <f t="shared" si="306"/>
        <v>0</v>
      </c>
      <c r="AL285" s="384">
        <f t="shared" si="306"/>
        <v>0</v>
      </c>
      <c r="AM285" s="386">
        <f t="shared" si="306"/>
        <v>0</v>
      </c>
      <c r="AN285" s="384">
        <v>0</v>
      </c>
      <c r="AO285" s="384">
        <v>0</v>
      </c>
      <c r="AP285" s="384">
        <v>0</v>
      </c>
      <c r="AQ285" s="384">
        <v>0</v>
      </c>
      <c r="AR285" s="386">
        <v>0</v>
      </c>
      <c r="AS285" s="384">
        <v>0</v>
      </c>
      <c r="AT285" s="384">
        <v>0</v>
      </c>
      <c r="AU285" s="384">
        <v>0</v>
      </c>
      <c r="AV285" s="384">
        <v>0</v>
      </c>
      <c r="AW285" s="386">
        <v>0</v>
      </c>
      <c r="AX285" s="384">
        <f t="shared" ref="AX285:BB285" si="307">SUM(AX286:AX288)</f>
        <v>0</v>
      </c>
      <c r="AY285" s="384">
        <f t="shared" si="307"/>
        <v>0</v>
      </c>
      <c r="AZ285" s="384">
        <f t="shared" si="307"/>
        <v>0</v>
      </c>
      <c r="BA285" s="384">
        <f t="shared" si="307"/>
        <v>0</v>
      </c>
      <c r="BB285" s="386">
        <f t="shared" si="307"/>
        <v>0</v>
      </c>
      <c r="BC285" s="384">
        <f t="shared" si="306"/>
        <v>0</v>
      </c>
      <c r="BD285" s="384">
        <f t="shared" si="306"/>
        <v>0</v>
      </c>
      <c r="BE285" s="384">
        <v>0</v>
      </c>
      <c r="BF285" s="384">
        <v>0</v>
      </c>
      <c r="BG285" s="384">
        <f t="shared" ref="BG285:BV285" si="308">SUM(BG286:BG288)</f>
        <v>0</v>
      </c>
      <c r="BH285" s="384">
        <f t="shared" si="308"/>
        <v>0</v>
      </c>
      <c r="BI285" s="384">
        <f t="shared" si="308"/>
        <v>0</v>
      </c>
      <c r="BJ285" s="384">
        <f t="shared" si="308"/>
        <v>0</v>
      </c>
      <c r="BK285" s="384">
        <f t="shared" si="308"/>
        <v>0</v>
      </c>
      <c r="BL285" s="384">
        <f t="shared" si="308"/>
        <v>0</v>
      </c>
      <c r="BM285" s="384">
        <f t="shared" si="308"/>
        <v>0</v>
      </c>
      <c r="BN285" s="384">
        <f t="shared" si="308"/>
        <v>0</v>
      </c>
      <c r="BO285" s="384">
        <f t="shared" si="308"/>
        <v>0</v>
      </c>
      <c r="BP285" s="384">
        <f t="shared" si="308"/>
        <v>0</v>
      </c>
      <c r="BQ285" s="384">
        <f t="shared" si="308"/>
        <v>0</v>
      </c>
      <c r="BR285" s="384">
        <f t="shared" si="308"/>
        <v>0</v>
      </c>
      <c r="BS285" s="384">
        <f t="shared" si="308"/>
        <v>0</v>
      </c>
      <c r="BT285" s="384">
        <f t="shared" si="308"/>
        <v>0</v>
      </c>
      <c r="BU285" s="386">
        <f t="shared" si="308"/>
        <v>0</v>
      </c>
      <c r="BV285" s="384">
        <f t="shared" si="308"/>
        <v>0</v>
      </c>
    </row>
    <row r="286" spans="1:74" ht="33.6" customHeight="1" x14ac:dyDescent="0.25">
      <c r="A286" s="382" t="s">
        <v>43</v>
      </c>
      <c r="B286" s="383" t="s">
        <v>10</v>
      </c>
      <c r="C286" s="374">
        <v>226</v>
      </c>
      <c r="D286" s="387" t="s">
        <v>652</v>
      </c>
      <c r="E286" s="384">
        <f>F286+G286+H286+I286</f>
        <v>99297</v>
      </c>
      <c r="F286" s="384"/>
      <c r="G286" s="384"/>
      <c r="H286" s="384"/>
      <c r="I286" s="384">
        <v>99297</v>
      </c>
      <c r="J286" s="384">
        <f>K286+L286+M286+N286</f>
        <v>0</v>
      </c>
      <c r="K286" s="384"/>
      <c r="L286" s="384"/>
      <c r="M286" s="384"/>
      <c r="N286" s="384"/>
      <c r="O286" s="384">
        <f>P286+Q286+R286+S286</f>
        <v>99297</v>
      </c>
      <c r="P286" s="384"/>
      <c r="Q286" s="384"/>
      <c r="R286" s="384"/>
      <c r="S286" s="384">
        <v>99297</v>
      </c>
      <c r="T286" s="384">
        <f>U286+V286+W286+X286</f>
        <v>0</v>
      </c>
      <c r="U286" s="384"/>
      <c r="V286" s="384"/>
      <c r="W286" s="384"/>
      <c r="X286" s="384"/>
      <c r="Y286" s="384">
        <f>Z286+AA286+AB286+AC286</f>
        <v>0</v>
      </c>
      <c r="Z286" s="384"/>
      <c r="AA286" s="384"/>
      <c r="AB286" s="384"/>
      <c r="AC286" s="384"/>
      <c r="AD286" s="384">
        <f>SUM(AE286:AH286)</f>
        <v>0</v>
      </c>
      <c r="AE286" s="384"/>
      <c r="AF286" s="384"/>
      <c r="AG286" s="384"/>
      <c r="AH286" s="386"/>
      <c r="AI286" s="384">
        <f>SUM(AJ286:AM286)</f>
        <v>0</v>
      </c>
      <c r="AJ286" s="384"/>
      <c r="AK286" s="384"/>
      <c r="AL286" s="384"/>
      <c r="AM286" s="386"/>
      <c r="AN286" s="384">
        <v>0</v>
      </c>
      <c r="AO286" s="384"/>
      <c r="AP286" s="384"/>
      <c r="AQ286" s="384"/>
      <c r="AR286" s="386"/>
      <c r="AS286" s="384">
        <v>0</v>
      </c>
      <c r="AT286" s="384"/>
      <c r="AU286" s="384"/>
      <c r="AV286" s="384"/>
      <c r="AW286" s="386"/>
      <c r="AX286" s="384">
        <f>SUM(AY286:BB286)</f>
        <v>0</v>
      </c>
      <c r="AY286" s="384"/>
      <c r="AZ286" s="384"/>
      <c r="BA286" s="384"/>
      <c r="BB286" s="386"/>
      <c r="BC286" s="384">
        <f>E286-J286-O286-T286-Y286-AD286-AI286-AN286-AS286-AX286</f>
        <v>0</v>
      </c>
      <c r="BD286" s="384"/>
      <c r="BE286" s="384"/>
      <c r="BF286" s="384"/>
      <c r="BG286" s="384">
        <f>SUM(BH286:BK286)</f>
        <v>0</v>
      </c>
      <c r="BH286" s="384"/>
      <c r="BI286" s="384"/>
      <c r="BJ286" s="384"/>
      <c r="BK286" s="384"/>
      <c r="BL286" s="384">
        <f>BM286+BN286+BO286+BP286</f>
        <v>0</v>
      </c>
      <c r="BM286" s="384"/>
      <c r="BN286" s="384"/>
      <c r="BO286" s="384"/>
      <c r="BP286" s="384"/>
      <c r="BQ286" s="384">
        <f>SUM(BR286:BU286)</f>
        <v>0</v>
      </c>
      <c r="BR286" s="384"/>
      <c r="BS286" s="384"/>
      <c r="BT286" s="384"/>
      <c r="BU286" s="386"/>
      <c r="BV286" s="384">
        <f>BC286-BQ286</f>
        <v>0</v>
      </c>
    </row>
    <row r="287" spans="1:74" ht="42.6" customHeight="1" x14ac:dyDescent="0.25">
      <c r="A287" s="382" t="s">
        <v>44</v>
      </c>
      <c r="B287" s="383" t="s">
        <v>1</v>
      </c>
      <c r="C287" s="374">
        <v>226</v>
      </c>
      <c r="D287" s="387" t="s">
        <v>651</v>
      </c>
      <c r="E287" s="384">
        <f>F287+G287+H287+I287</f>
        <v>165401.26999999999</v>
      </c>
      <c r="F287" s="384"/>
      <c r="G287" s="384"/>
      <c r="H287" s="384"/>
      <c r="I287" s="384">
        <v>165401.26999999999</v>
      </c>
      <c r="J287" s="384">
        <f>K287+L287+M287+N287</f>
        <v>0</v>
      </c>
      <c r="K287" s="384"/>
      <c r="L287" s="384"/>
      <c r="M287" s="384"/>
      <c r="N287" s="384"/>
      <c r="O287" s="384">
        <f>P287+Q287+R287+S287</f>
        <v>0</v>
      </c>
      <c r="P287" s="384"/>
      <c r="Q287" s="384"/>
      <c r="R287" s="384"/>
      <c r="S287" s="384"/>
      <c r="T287" s="384">
        <f>U287+V287+W287+X287</f>
        <v>165401.26999999999</v>
      </c>
      <c r="U287" s="384"/>
      <c r="V287" s="384"/>
      <c r="W287" s="384"/>
      <c r="X287" s="384">
        <v>165401.26999999999</v>
      </c>
      <c r="Y287" s="384">
        <f>Z287+AA287+AB287+AC287</f>
        <v>0</v>
      </c>
      <c r="Z287" s="384"/>
      <c r="AA287" s="384"/>
      <c r="AB287" s="384"/>
      <c r="AC287" s="384"/>
      <c r="AD287" s="384">
        <f>SUM(AE287:AH287)</f>
        <v>0</v>
      </c>
      <c r="AE287" s="384"/>
      <c r="AF287" s="384"/>
      <c r="AG287" s="384"/>
      <c r="AH287" s="386"/>
      <c r="AI287" s="384">
        <f>SUM(AJ287:AM287)</f>
        <v>0</v>
      </c>
      <c r="AJ287" s="384"/>
      <c r="AK287" s="384"/>
      <c r="AL287" s="384"/>
      <c r="AM287" s="386"/>
      <c r="AN287" s="384">
        <v>0</v>
      </c>
      <c r="AO287" s="384"/>
      <c r="AP287" s="384"/>
      <c r="AQ287" s="384"/>
      <c r="AR287" s="386"/>
      <c r="AS287" s="384">
        <v>0</v>
      </c>
      <c r="AT287" s="384"/>
      <c r="AU287" s="384"/>
      <c r="AV287" s="384"/>
      <c r="AW287" s="386"/>
      <c r="AX287" s="384">
        <f>SUM(AY287:BB287)</f>
        <v>0</v>
      </c>
      <c r="AY287" s="384"/>
      <c r="AZ287" s="384"/>
      <c r="BA287" s="384"/>
      <c r="BB287" s="386"/>
      <c r="BC287" s="384">
        <f t="shared" ref="BC287:BC288" si="309">E287-J287-O287-T287-Y287-AD287-AI287-AN287-AS287-AX287</f>
        <v>0</v>
      </c>
      <c r="BD287" s="384"/>
      <c r="BE287" s="384"/>
      <c r="BF287" s="384"/>
      <c r="BG287" s="384">
        <f>SUM(BH287:BK287)</f>
        <v>0</v>
      </c>
      <c r="BH287" s="384"/>
      <c r="BI287" s="384"/>
      <c r="BJ287" s="384"/>
      <c r="BK287" s="384"/>
      <c r="BL287" s="384">
        <f>BM287+BN287+BO287+BP287</f>
        <v>0</v>
      </c>
      <c r="BM287" s="384"/>
      <c r="BN287" s="384"/>
      <c r="BO287" s="384"/>
      <c r="BP287" s="384"/>
      <c r="BQ287" s="384">
        <f>SUM(BR287:BU287)</f>
        <v>0</v>
      </c>
      <c r="BR287" s="384"/>
      <c r="BS287" s="384"/>
      <c r="BT287" s="384"/>
      <c r="BU287" s="386"/>
      <c r="BV287" s="384">
        <f>BC287-BQ287</f>
        <v>0</v>
      </c>
    </row>
    <row r="288" spans="1:74" ht="33.6" customHeight="1" x14ac:dyDescent="0.25">
      <c r="A288" s="382" t="s">
        <v>45</v>
      </c>
      <c r="B288" s="388" t="s">
        <v>22</v>
      </c>
      <c r="C288" s="377">
        <v>226</v>
      </c>
      <c r="D288" s="390" t="s">
        <v>650</v>
      </c>
      <c r="E288" s="384">
        <f>F288+G288+H288+I288</f>
        <v>9356.75</v>
      </c>
      <c r="F288" s="384"/>
      <c r="G288" s="384"/>
      <c r="H288" s="384"/>
      <c r="I288" s="384">
        <v>9356.75</v>
      </c>
      <c r="J288" s="384">
        <f>K288+L288+M288+N288</f>
        <v>0</v>
      </c>
      <c r="K288" s="384"/>
      <c r="L288" s="384"/>
      <c r="M288" s="384"/>
      <c r="N288" s="384"/>
      <c r="O288" s="384">
        <f>P288+Q288+R288+S288</f>
        <v>0</v>
      </c>
      <c r="P288" s="384"/>
      <c r="Q288" s="384"/>
      <c r="R288" s="384"/>
      <c r="S288" s="384"/>
      <c r="T288" s="384">
        <f>U288+V288+W288+X288</f>
        <v>9356.75</v>
      </c>
      <c r="U288" s="384"/>
      <c r="V288" s="384"/>
      <c r="W288" s="384"/>
      <c r="X288" s="384">
        <v>9356.75</v>
      </c>
      <c r="Y288" s="384">
        <f>Z288+AA288+AB288+AC288</f>
        <v>0</v>
      </c>
      <c r="Z288" s="384"/>
      <c r="AA288" s="384"/>
      <c r="AB288" s="384"/>
      <c r="AC288" s="384"/>
      <c r="AD288" s="384">
        <f>SUM(AE288:AH288)</f>
        <v>0</v>
      </c>
      <c r="AE288" s="384"/>
      <c r="AF288" s="384"/>
      <c r="AG288" s="384"/>
      <c r="AH288" s="386"/>
      <c r="AI288" s="384">
        <f>SUM(AJ288:AM288)</f>
        <v>0</v>
      </c>
      <c r="AJ288" s="384"/>
      <c r="AK288" s="384"/>
      <c r="AL288" s="384"/>
      <c r="AM288" s="386"/>
      <c r="AN288" s="384">
        <v>0</v>
      </c>
      <c r="AO288" s="384"/>
      <c r="AP288" s="384"/>
      <c r="AQ288" s="384"/>
      <c r="AR288" s="386"/>
      <c r="AS288" s="384">
        <v>0</v>
      </c>
      <c r="AT288" s="384"/>
      <c r="AU288" s="384"/>
      <c r="AV288" s="384"/>
      <c r="AW288" s="386"/>
      <c r="AX288" s="384">
        <f>SUM(AY288:BB288)</f>
        <v>0</v>
      </c>
      <c r="AY288" s="384"/>
      <c r="AZ288" s="384"/>
      <c r="BA288" s="384"/>
      <c r="BB288" s="386"/>
      <c r="BC288" s="384">
        <f t="shared" si="309"/>
        <v>0</v>
      </c>
      <c r="BD288" s="384"/>
      <c r="BE288" s="384"/>
      <c r="BF288" s="384"/>
      <c r="BG288" s="384">
        <f>SUM(BH288:BK288)</f>
        <v>0</v>
      </c>
      <c r="BH288" s="384"/>
      <c r="BI288" s="384"/>
      <c r="BJ288" s="384"/>
      <c r="BK288" s="384"/>
      <c r="BL288" s="384">
        <f>BM288+BN288+BO288+BP288</f>
        <v>0</v>
      </c>
      <c r="BM288" s="384"/>
      <c r="BN288" s="384"/>
      <c r="BO288" s="384"/>
      <c r="BP288" s="384"/>
      <c r="BQ288" s="384">
        <f>SUM(BR288:BU288)</f>
        <v>0</v>
      </c>
      <c r="BR288" s="384"/>
      <c r="BS288" s="384"/>
      <c r="BT288" s="384"/>
      <c r="BU288" s="386"/>
      <c r="BV288" s="384">
        <f>BC288-BQ288</f>
        <v>0</v>
      </c>
    </row>
    <row r="289" spans="1:74" ht="26.45" customHeight="1" x14ac:dyDescent="0.25">
      <c r="A289" s="382" t="s">
        <v>31</v>
      </c>
      <c r="B289" s="432" t="s">
        <v>281</v>
      </c>
      <c r="C289" s="382"/>
      <c r="D289" s="432"/>
      <c r="E289" s="384">
        <f>SUM(E290:E294)</f>
        <v>3183700.77</v>
      </c>
      <c r="F289" s="384">
        <f t="shared" ref="F289:BV289" si="310">SUM(F290:F294)</f>
        <v>0</v>
      </c>
      <c r="G289" s="384">
        <f t="shared" si="310"/>
        <v>0</v>
      </c>
      <c r="H289" s="384">
        <f t="shared" si="310"/>
        <v>0</v>
      </c>
      <c r="I289" s="384">
        <f t="shared" si="310"/>
        <v>3183700.77</v>
      </c>
      <c r="J289" s="384">
        <f t="shared" si="310"/>
        <v>0</v>
      </c>
      <c r="K289" s="384">
        <f t="shared" si="310"/>
        <v>0</v>
      </c>
      <c r="L289" s="384">
        <f t="shared" si="310"/>
        <v>0</v>
      </c>
      <c r="M289" s="384">
        <f t="shared" si="310"/>
        <v>0</v>
      </c>
      <c r="N289" s="384">
        <f t="shared" si="310"/>
        <v>0</v>
      </c>
      <c r="O289" s="384">
        <f t="shared" si="310"/>
        <v>99297</v>
      </c>
      <c r="P289" s="384">
        <f t="shared" si="310"/>
        <v>0</v>
      </c>
      <c r="Q289" s="384">
        <f t="shared" si="310"/>
        <v>0</v>
      </c>
      <c r="R289" s="384">
        <f t="shared" si="310"/>
        <v>0</v>
      </c>
      <c r="S289" s="384">
        <f t="shared" si="310"/>
        <v>99297</v>
      </c>
      <c r="T289" s="384">
        <f t="shared" si="310"/>
        <v>1049751.75</v>
      </c>
      <c r="U289" s="384">
        <f t="shared" si="310"/>
        <v>0</v>
      </c>
      <c r="V289" s="384">
        <f t="shared" si="310"/>
        <v>0</v>
      </c>
      <c r="W289" s="384">
        <f t="shared" si="310"/>
        <v>0</v>
      </c>
      <c r="X289" s="384">
        <f t="shared" si="310"/>
        <v>1049751.75</v>
      </c>
      <c r="Y289" s="384">
        <f t="shared" si="310"/>
        <v>0</v>
      </c>
      <c r="Z289" s="384">
        <f t="shared" si="310"/>
        <v>0</v>
      </c>
      <c r="AA289" s="384">
        <f t="shared" si="310"/>
        <v>0</v>
      </c>
      <c r="AB289" s="384">
        <f t="shared" si="310"/>
        <v>0</v>
      </c>
      <c r="AC289" s="384">
        <f t="shared" si="310"/>
        <v>0</v>
      </c>
      <c r="AD289" s="384">
        <f t="shared" si="310"/>
        <v>2034652.02</v>
      </c>
      <c r="AE289" s="384">
        <f t="shared" si="310"/>
        <v>0</v>
      </c>
      <c r="AF289" s="384">
        <f t="shared" si="310"/>
        <v>0</v>
      </c>
      <c r="AG289" s="384">
        <f t="shared" si="310"/>
        <v>0</v>
      </c>
      <c r="AH289" s="386">
        <f t="shared" si="310"/>
        <v>2034652.02</v>
      </c>
      <c r="AI289" s="384">
        <f t="shared" si="310"/>
        <v>0</v>
      </c>
      <c r="AJ289" s="384">
        <f t="shared" si="310"/>
        <v>0</v>
      </c>
      <c r="AK289" s="384">
        <f t="shared" si="310"/>
        <v>0</v>
      </c>
      <c r="AL289" s="384">
        <f t="shared" si="310"/>
        <v>0</v>
      </c>
      <c r="AM289" s="386">
        <f t="shared" si="310"/>
        <v>0</v>
      </c>
      <c r="AN289" s="384">
        <v>0</v>
      </c>
      <c r="AO289" s="384">
        <v>0</v>
      </c>
      <c r="AP289" s="384">
        <v>0</v>
      </c>
      <c r="AQ289" s="384">
        <v>0</v>
      </c>
      <c r="AR289" s="386">
        <v>0</v>
      </c>
      <c r="AS289" s="384">
        <v>0</v>
      </c>
      <c r="AT289" s="384">
        <v>0</v>
      </c>
      <c r="AU289" s="384">
        <v>0</v>
      </c>
      <c r="AV289" s="384">
        <v>0</v>
      </c>
      <c r="AW289" s="386">
        <v>0</v>
      </c>
      <c r="AX289" s="384">
        <f t="shared" ref="AX289:BB289" si="311">SUM(AX290:AX294)</f>
        <v>0</v>
      </c>
      <c r="AY289" s="384">
        <f t="shared" si="311"/>
        <v>0</v>
      </c>
      <c r="AZ289" s="384">
        <f t="shared" si="311"/>
        <v>0</v>
      </c>
      <c r="BA289" s="384">
        <f t="shared" si="311"/>
        <v>0</v>
      </c>
      <c r="BB289" s="386">
        <f t="shared" si="311"/>
        <v>0</v>
      </c>
      <c r="BC289" s="384">
        <f t="shared" si="310"/>
        <v>0</v>
      </c>
      <c r="BD289" s="384">
        <f t="shared" si="310"/>
        <v>0</v>
      </c>
      <c r="BE289" s="384">
        <v>0</v>
      </c>
      <c r="BF289" s="384">
        <v>0</v>
      </c>
      <c r="BG289" s="384">
        <f t="shared" si="310"/>
        <v>0</v>
      </c>
      <c r="BH289" s="384">
        <f t="shared" si="310"/>
        <v>0</v>
      </c>
      <c r="BI289" s="384">
        <f t="shared" si="310"/>
        <v>0</v>
      </c>
      <c r="BJ289" s="384">
        <f t="shared" si="310"/>
        <v>0</v>
      </c>
      <c r="BK289" s="384">
        <f t="shared" si="310"/>
        <v>0</v>
      </c>
      <c r="BL289" s="384">
        <f t="shared" si="310"/>
        <v>0</v>
      </c>
      <c r="BM289" s="384">
        <f t="shared" si="310"/>
        <v>0</v>
      </c>
      <c r="BN289" s="384">
        <f t="shared" si="310"/>
        <v>0</v>
      </c>
      <c r="BO289" s="384">
        <f t="shared" si="310"/>
        <v>0</v>
      </c>
      <c r="BP289" s="384">
        <f t="shared" si="310"/>
        <v>0</v>
      </c>
      <c r="BQ289" s="384">
        <f t="shared" si="310"/>
        <v>0</v>
      </c>
      <c r="BR289" s="384">
        <f t="shared" si="310"/>
        <v>0</v>
      </c>
      <c r="BS289" s="384">
        <f t="shared" si="310"/>
        <v>0</v>
      </c>
      <c r="BT289" s="384">
        <f t="shared" si="310"/>
        <v>0</v>
      </c>
      <c r="BU289" s="386">
        <f t="shared" si="310"/>
        <v>0</v>
      </c>
      <c r="BV289" s="384">
        <f t="shared" si="310"/>
        <v>0</v>
      </c>
    </row>
    <row r="290" spans="1:74" ht="32.450000000000003" customHeight="1" x14ac:dyDescent="0.25">
      <c r="A290" s="382" t="s">
        <v>52</v>
      </c>
      <c r="B290" s="383" t="s">
        <v>10</v>
      </c>
      <c r="C290" s="374">
        <v>226</v>
      </c>
      <c r="D290" s="387" t="s">
        <v>653</v>
      </c>
      <c r="E290" s="384">
        <f>F290+G290+H290+I290</f>
        <v>99297</v>
      </c>
      <c r="F290" s="384"/>
      <c r="G290" s="384"/>
      <c r="H290" s="384"/>
      <c r="I290" s="384">
        <v>99297</v>
      </c>
      <c r="J290" s="384">
        <f>K290+L290+M290+N290</f>
        <v>0</v>
      </c>
      <c r="K290" s="384"/>
      <c r="L290" s="384"/>
      <c r="M290" s="384"/>
      <c r="N290" s="384"/>
      <c r="O290" s="384">
        <f>P290+Q290+R290+S290</f>
        <v>99297</v>
      </c>
      <c r="P290" s="384"/>
      <c r="Q290" s="384"/>
      <c r="R290" s="384"/>
      <c r="S290" s="384">
        <v>99297</v>
      </c>
      <c r="T290" s="384">
        <f>U290+V290+W290+X290</f>
        <v>0</v>
      </c>
      <c r="U290" s="384"/>
      <c r="V290" s="384"/>
      <c r="W290" s="384"/>
      <c r="X290" s="384"/>
      <c r="Y290" s="384">
        <f>Z290+AA290+AB290+AC290</f>
        <v>0</v>
      </c>
      <c r="Z290" s="384"/>
      <c r="AA290" s="384"/>
      <c r="AB290" s="384"/>
      <c r="AC290" s="384"/>
      <c r="AD290" s="384">
        <f>SUM(AE290:AH290)</f>
        <v>0</v>
      </c>
      <c r="AE290" s="384"/>
      <c r="AF290" s="384"/>
      <c r="AG290" s="384"/>
      <c r="AH290" s="386"/>
      <c r="AI290" s="384">
        <f>SUM(AJ290:AM290)</f>
        <v>0</v>
      </c>
      <c r="AJ290" s="384"/>
      <c r="AK290" s="384"/>
      <c r="AL290" s="384"/>
      <c r="AM290" s="386"/>
      <c r="AN290" s="384">
        <v>0</v>
      </c>
      <c r="AO290" s="384"/>
      <c r="AP290" s="384"/>
      <c r="AQ290" s="384"/>
      <c r="AR290" s="386"/>
      <c r="AS290" s="384">
        <v>0</v>
      </c>
      <c r="AT290" s="384"/>
      <c r="AU290" s="384"/>
      <c r="AV290" s="384"/>
      <c r="AW290" s="386"/>
      <c r="AX290" s="384">
        <f>SUM(AY290:BB290)</f>
        <v>0</v>
      </c>
      <c r="AY290" s="384"/>
      <c r="AZ290" s="384"/>
      <c r="BA290" s="384"/>
      <c r="BB290" s="386"/>
      <c r="BC290" s="384">
        <f>E290-J290-O290-T290-Y290-AD290-AI290-AN290-AS290-AX290</f>
        <v>0</v>
      </c>
      <c r="BD290" s="384"/>
      <c r="BE290" s="384"/>
      <c r="BF290" s="384"/>
      <c r="BG290" s="384">
        <f>SUM(BH290:BK290)</f>
        <v>0</v>
      </c>
      <c r="BH290" s="384"/>
      <c r="BI290" s="384"/>
      <c r="BJ290" s="384"/>
      <c r="BK290" s="384"/>
      <c r="BL290" s="384">
        <f>BM290+BN290+BO290+BP290</f>
        <v>0</v>
      </c>
      <c r="BM290" s="384"/>
      <c r="BN290" s="384"/>
      <c r="BO290" s="384"/>
      <c r="BP290" s="384"/>
      <c r="BQ290" s="384">
        <f>SUM(BR290:BU290)</f>
        <v>0</v>
      </c>
      <c r="BR290" s="384"/>
      <c r="BS290" s="384"/>
      <c r="BT290" s="384"/>
      <c r="BU290" s="386"/>
      <c r="BV290" s="384">
        <f>BC290-BQ290</f>
        <v>0</v>
      </c>
    </row>
    <row r="291" spans="1:74" ht="44.45" customHeight="1" x14ac:dyDescent="0.25">
      <c r="A291" s="382" t="s">
        <v>53</v>
      </c>
      <c r="B291" s="383" t="s">
        <v>1</v>
      </c>
      <c r="C291" s="374">
        <v>226</v>
      </c>
      <c r="D291" s="387" t="s">
        <v>654</v>
      </c>
      <c r="E291" s="384">
        <f>F291+G291+H291+I291</f>
        <v>165401.26999999999</v>
      </c>
      <c r="F291" s="384"/>
      <c r="G291" s="384"/>
      <c r="H291" s="384"/>
      <c r="I291" s="384">
        <v>165401.26999999999</v>
      </c>
      <c r="J291" s="384">
        <f>K291+L291+M291+N291</f>
        <v>0</v>
      </c>
      <c r="K291" s="384"/>
      <c r="L291" s="384"/>
      <c r="M291" s="384"/>
      <c r="N291" s="384"/>
      <c r="O291" s="384">
        <f>P291+Q291+R291+S291</f>
        <v>0</v>
      </c>
      <c r="P291" s="384"/>
      <c r="Q291" s="384"/>
      <c r="R291" s="384"/>
      <c r="S291" s="384">
        <v>0</v>
      </c>
      <c r="T291" s="384">
        <f>U291+V291+W291+X291</f>
        <v>165401.26999999999</v>
      </c>
      <c r="U291" s="384"/>
      <c r="V291" s="384"/>
      <c r="W291" s="384"/>
      <c r="X291" s="384">
        <v>165401.26999999999</v>
      </c>
      <c r="Y291" s="384">
        <f>Z291+AA291+AB291+AC291</f>
        <v>0</v>
      </c>
      <c r="Z291" s="384"/>
      <c r="AA291" s="384"/>
      <c r="AB291" s="384"/>
      <c r="AC291" s="384"/>
      <c r="AD291" s="384">
        <f>SUM(AE291:AH291)</f>
        <v>0</v>
      </c>
      <c r="AE291" s="384"/>
      <c r="AF291" s="384"/>
      <c r="AG291" s="384"/>
      <c r="AH291" s="386"/>
      <c r="AI291" s="384">
        <f>SUM(AJ291:AM291)</f>
        <v>0</v>
      </c>
      <c r="AJ291" s="384"/>
      <c r="AK291" s="384"/>
      <c r="AL291" s="384"/>
      <c r="AM291" s="386"/>
      <c r="AN291" s="384">
        <v>0</v>
      </c>
      <c r="AO291" s="384"/>
      <c r="AP291" s="384"/>
      <c r="AQ291" s="384"/>
      <c r="AR291" s="386"/>
      <c r="AS291" s="384">
        <v>0</v>
      </c>
      <c r="AT291" s="384"/>
      <c r="AU291" s="384"/>
      <c r="AV291" s="384"/>
      <c r="AW291" s="386"/>
      <c r="AX291" s="384">
        <f>SUM(AY291:BB291)</f>
        <v>0</v>
      </c>
      <c r="AY291" s="384"/>
      <c r="AZ291" s="384"/>
      <c r="BA291" s="384"/>
      <c r="BB291" s="386"/>
      <c r="BC291" s="384">
        <f t="shared" ref="BC291:BC294" si="312">E291-J291-O291-T291-Y291-AD291-AI291-AN291-AS291-AX291</f>
        <v>0</v>
      </c>
      <c r="BD291" s="384"/>
      <c r="BE291" s="384"/>
      <c r="BF291" s="384"/>
      <c r="BG291" s="384">
        <f>SUM(BH291:BK291)</f>
        <v>0</v>
      </c>
      <c r="BH291" s="384"/>
      <c r="BI291" s="384"/>
      <c r="BJ291" s="384"/>
      <c r="BK291" s="384"/>
      <c r="BL291" s="384">
        <f>BM291+BN291+BO291+BP291</f>
        <v>0</v>
      </c>
      <c r="BM291" s="384"/>
      <c r="BN291" s="384"/>
      <c r="BO291" s="384"/>
      <c r="BP291" s="384"/>
      <c r="BQ291" s="384">
        <f>SUM(BR291:BU291)</f>
        <v>0</v>
      </c>
      <c r="BR291" s="384"/>
      <c r="BS291" s="384"/>
      <c r="BT291" s="384"/>
      <c r="BU291" s="386"/>
      <c r="BV291" s="384">
        <f>BC291-BQ291</f>
        <v>0</v>
      </c>
    </row>
    <row r="292" spans="1:74" ht="43.15" customHeight="1" x14ac:dyDescent="0.25">
      <c r="A292" s="382" t="s">
        <v>54</v>
      </c>
      <c r="B292" s="383" t="s">
        <v>11</v>
      </c>
      <c r="C292" s="374">
        <v>226</v>
      </c>
      <c r="D292" s="387" t="s">
        <v>655</v>
      </c>
      <c r="E292" s="384">
        <f>F292+G292+H292+I292</f>
        <v>2906645.75</v>
      </c>
      <c r="F292" s="384"/>
      <c r="G292" s="384"/>
      <c r="H292" s="384"/>
      <c r="I292" s="384">
        <v>2906645.75</v>
      </c>
      <c r="J292" s="384">
        <f>K292+L292+M292+N292</f>
        <v>0</v>
      </c>
      <c r="K292" s="384"/>
      <c r="L292" s="384"/>
      <c r="M292" s="384"/>
      <c r="N292" s="384"/>
      <c r="O292" s="384">
        <f>P292+Q292+R292+S292</f>
        <v>0</v>
      </c>
      <c r="P292" s="384"/>
      <c r="Q292" s="384"/>
      <c r="R292" s="384"/>
      <c r="S292" s="384">
        <v>0</v>
      </c>
      <c r="T292" s="384">
        <f>U292+V292+W292+X292</f>
        <v>871993.73</v>
      </c>
      <c r="U292" s="384"/>
      <c r="V292" s="384"/>
      <c r="W292" s="384"/>
      <c r="X292" s="384">
        <v>871993.73</v>
      </c>
      <c r="Y292" s="384">
        <f>Z292+AA292+AB292+AC292</f>
        <v>0</v>
      </c>
      <c r="Z292" s="384"/>
      <c r="AA292" s="384"/>
      <c r="AB292" s="384"/>
      <c r="AC292" s="384"/>
      <c r="AD292" s="384">
        <f>SUM(AE292:AH292)</f>
        <v>2034652.02</v>
      </c>
      <c r="AE292" s="384"/>
      <c r="AF292" s="384"/>
      <c r="AG292" s="384"/>
      <c r="AH292" s="386">
        <v>2034652.02</v>
      </c>
      <c r="AI292" s="384">
        <f>SUM(AJ292:AM292)</f>
        <v>0</v>
      </c>
      <c r="AJ292" s="384"/>
      <c r="AK292" s="384"/>
      <c r="AL292" s="384"/>
      <c r="AM292" s="386"/>
      <c r="AN292" s="384">
        <v>0</v>
      </c>
      <c r="AO292" s="384"/>
      <c r="AP292" s="384"/>
      <c r="AQ292" s="384"/>
      <c r="AR292" s="386"/>
      <c r="AS292" s="384">
        <v>0</v>
      </c>
      <c r="AT292" s="384"/>
      <c r="AU292" s="384"/>
      <c r="AV292" s="384"/>
      <c r="AW292" s="386"/>
      <c r="AX292" s="384">
        <f>SUM(AY292:BB292)</f>
        <v>0</v>
      </c>
      <c r="AY292" s="384"/>
      <c r="AZ292" s="384"/>
      <c r="BA292" s="384"/>
      <c r="BB292" s="386"/>
      <c r="BC292" s="384">
        <f t="shared" si="312"/>
        <v>0</v>
      </c>
      <c r="BD292" s="384"/>
      <c r="BE292" s="384"/>
      <c r="BF292" s="384"/>
      <c r="BG292" s="384">
        <f>SUM(BH292:BK292)</f>
        <v>0</v>
      </c>
      <c r="BH292" s="384"/>
      <c r="BI292" s="384"/>
      <c r="BJ292" s="384"/>
      <c r="BK292" s="384"/>
      <c r="BL292" s="384">
        <f>BM292+BN292+BO292+BP292</f>
        <v>0</v>
      </c>
      <c r="BM292" s="384"/>
      <c r="BN292" s="384"/>
      <c r="BO292" s="384"/>
      <c r="BP292" s="384"/>
      <c r="BQ292" s="384">
        <f>SUM(BR292:BU292)</f>
        <v>0</v>
      </c>
      <c r="BR292" s="384"/>
      <c r="BS292" s="384"/>
      <c r="BT292" s="384"/>
      <c r="BU292" s="386"/>
      <c r="BV292" s="384">
        <f>BC292-BQ292</f>
        <v>0</v>
      </c>
    </row>
    <row r="293" spans="1:74" ht="32.450000000000003" customHeight="1" x14ac:dyDescent="0.25">
      <c r="A293" s="382" t="s">
        <v>55</v>
      </c>
      <c r="B293" s="388" t="s">
        <v>22</v>
      </c>
      <c r="C293" s="377">
        <v>226</v>
      </c>
      <c r="D293" s="390" t="s">
        <v>656</v>
      </c>
      <c r="E293" s="384">
        <f>F293+G293+H293+I293</f>
        <v>9356.75</v>
      </c>
      <c r="F293" s="384"/>
      <c r="G293" s="384"/>
      <c r="H293" s="384"/>
      <c r="I293" s="384">
        <v>9356.75</v>
      </c>
      <c r="J293" s="384">
        <f>K293+L293+M293+N293</f>
        <v>0</v>
      </c>
      <c r="K293" s="384"/>
      <c r="L293" s="384"/>
      <c r="M293" s="384"/>
      <c r="N293" s="384"/>
      <c r="O293" s="384">
        <f>P293+Q293+R293+S293</f>
        <v>0</v>
      </c>
      <c r="P293" s="384"/>
      <c r="Q293" s="384"/>
      <c r="R293" s="384"/>
      <c r="S293" s="384">
        <v>0</v>
      </c>
      <c r="T293" s="384">
        <f>U293+V293+W293+X293</f>
        <v>9356.75</v>
      </c>
      <c r="U293" s="384"/>
      <c r="V293" s="384"/>
      <c r="W293" s="384"/>
      <c r="X293" s="384">
        <v>9356.75</v>
      </c>
      <c r="Y293" s="384">
        <f>Z293+AA293+AB293+AC293</f>
        <v>0</v>
      </c>
      <c r="Z293" s="384"/>
      <c r="AA293" s="384"/>
      <c r="AB293" s="384"/>
      <c r="AC293" s="384"/>
      <c r="AD293" s="384">
        <f>SUM(AE293:AH293)</f>
        <v>0</v>
      </c>
      <c r="AE293" s="384"/>
      <c r="AF293" s="384"/>
      <c r="AG293" s="384"/>
      <c r="AH293" s="386"/>
      <c r="AI293" s="384">
        <f>SUM(AJ293:AM293)</f>
        <v>0</v>
      </c>
      <c r="AJ293" s="384"/>
      <c r="AK293" s="384"/>
      <c r="AL293" s="384"/>
      <c r="AM293" s="386"/>
      <c r="AN293" s="384">
        <v>0</v>
      </c>
      <c r="AO293" s="384"/>
      <c r="AP293" s="384"/>
      <c r="AQ293" s="384"/>
      <c r="AR293" s="386"/>
      <c r="AS293" s="384">
        <v>0</v>
      </c>
      <c r="AT293" s="384"/>
      <c r="AU293" s="384"/>
      <c r="AV293" s="384"/>
      <c r="AW293" s="386"/>
      <c r="AX293" s="384">
        <f>SUM(AY293:BB293)</f>
        <v>0</v>
      </c>
      <c r="AY293" s="384"/>
      <c r="AZ293" s="384"/>
      <c r="BA293" s="384"/>
      <c r="BB293" s="386"/>
      <c r="BC293" s="384">
        <f t="shared" si="312"/>
        <v>0</v>
      </c>
      <c r="BD293" s="384"/>
      <c r="BE293" s="384"/>
      <c r="BF293" s="384"/>
      <c r="BG293" s="384">
        <f>SUM(BH293:BK293)</f>
        <v>0</v>
      </c>
      <c r="BH293" s="384"/>
      <c r="BI293" s="384"/>
      <c r="BJ293" s="384"/>
      <c r="BK293" s="384"/>
      <c r="BL293" s="384">
        <f>BM293+BN293+BO293+BP293</f>
        <v>0</v>
      </c>
      <c r="BM293" s="384"/>
      <c r="BN293" s="384"/>
      <c r="BO293" s="384"/>
      <c r="BP293" s="384"/>
      <c r="BQ293" s="384">
        <f>SUM(BR293:BU293)</f>
        <v>0</v>
      </c>
      <c r="BR293" s="384"/>
      <c r="BS293" s="384"/>
      <c r="BT293" s="384"/>
      <c r="BU293" s="386"/>
      <c r="BV293" s="384">
        <f>BC293-BQ293</f>
        <v>0</v>
      </c>
    </row>
    <row r="294" spans="1:74" ht="31.15" customHeight="1" x14ac:dyDescent="0.25">
      <c r="A294" s="382" t="s">
        <v>56</v>
      </c>
      <c r="B294" s="388" t="s">
        <v>8</v>
      </c>
      <c r="C294" s="377">
        <v>226</v>
      </c>
      <c r="D294" s="390" t="s">
        <v>657</v>
      </c>
      <c r="E294" s="384">
        <f>F294+G294+H294+I294</f>
        <v>3000</v>
      </c>
      <c r="F294" s="384"/>
      <c r="G294" s="384"/>
      <c r="H294" s="384"/>
      <c r="I294" s="384">
        <v>3000</v>
      </c>
      <c r="J294" s="384">
        <f>K294+L294+M294+N294</f>
        <v>0</v>
      </c>
      <c r="K294" s="384"/>
      <c r="L294" s="384"/>
      <c r="M294" s="384"/>
      <c r="N294" s="384"/>
      <c r="O294" s="384">
        <f>P294+Q294+R294+S294</f>
        <v>0</v>
      </c>
      <c r="P294" s="384"/>
      <c r="Q294" s="384"/>
      <c r="R294" s="384"/>
      <c r="S294" s="384">
        <v>0</v>
      </c>
      <c r="T294" s="384">
        <f>U294+V294+W294+X294</f>
        <v>3000</v>
      </c>
      <c r="U294" s="384"/>
      <c r="V294" s="384"/>
      <c r="W294" s="384"/>
      <c r="X294" s="384">
        <v>3000</v>
      </c>
      <c r="Y294" s="384">
        <f>Z294+AA294+AB294+AC294</f>
        <v>0</v>
      </c>
      <c r="Z294" s="384"/>
      <c r="AA294" s="384"/>
      <c r="AB294" s="384"/>
      <c r="AC294" s="384"/>
      <c r="AD294" s="384">
        <f>SUM(AE294:AH294)</f>
        <v>0</v>
      </c>
      <c r="AE294" s="384"/>
      <c r="AF294" s="384"/>
      <c r="AG294" s="384"/>
      <c r="AH294" s="386"/>
      <c r="AI294" s="384">
        <f>SUM(AJ294:AM294)</f>
        <v>0</v>
      </c>
      <c r="AJ294" s="384"/>
      <c r="AK294" s="384"/>
      <c r="AL294" s="384"/>
      <c r="AM294" s="386"/>
      <c r="AN294" s="384">
        <v>0</v>
      </c>
      <c r="AO294" s="384"/>
      <c r="AP294" s="384"/>
      <c r="AQ294" s="384"/>
      <c r="AR294" s="386"/>
      <c r="AS294" s="384">
        <v>0</v>
      </c>
      <c r="AT294" s="384"/>
      <c r="AU294" s="384"/>
      <c r="AV294" s="384"/>
      <c r="AW294" s="386"/>
      <c r="AX294" s="384">
        <f>SUM(AY294:BB294)</f>
        <v>0</v>
      </c>
      <c r="AY294" s="384"/>
      <c r="AZ294" s="384"/>
      <c r="BA294" s="384"/>
      <c r="BB294" s="386"/>
      <c r="BC294" s="384">
        <f t="shared" si="312"/>
        <v>0</v>
      </c>
      <c r="BD294" s="384"/>
      <c r="BE294" s="384"/>
      <c r="BF294" s="384"/>
      <c r="BG294" s="384">
        <f>SUM(BH294:BK294)</f>
        <v>0</v>
      </c>
      <c r="BH294" s="384"/>
      <c r="BI294" s="384"/>
      <c r="BJ294" s="384"/>
      <c r="BK294" s="384"/>
      <c r="BL294" s="384">
        <f>BM294+BN294+BO294+BP294</f>
        <v>0</v>
      </c>
      <c r="BM294" s="384"/>
      <c r="BN294" s="384"/>
      <c r="BO294" s="384"/>
      <c r="BP294" s="384"/>
      <c r="BQ294" s="384">
        <f>SUM(BR294:BU294)</f>
        <v>0</v>
      </c>
      <c r="BR294" s="384"/>
      <c r="BS294" s="384"/>
      <c r="BT294" s="384"/>
      <c r="BU294" s="386"/>
      <c r="BV294" s="384">
        <f>BC294-BQ294</f>
        <v>0</v>
      </c>
    </row>
    <row r="295" spans="1:74" ht="30" customHeight="1" x14ac:dyDescent="0.25">
      <c r="A295" s="382" t="s">
        <v>36</v>
      </c>
      <c r="B295" s="429" t="s">
        <v>282</v>
      </c>
      <c r="C295" s="382"/>
      <c r="D295" s="432"/>
      <c r="E295" s="384">
        <f>SUM(E296:E298)</f>
        <v>274055.02</v>
      </c>
      <c r="F295" s="384">
        <f t="shared" ref="F295:BD295" si="313">SUM(F296:F298)</f>
        <v>0</v>
      </c>
      <c r="G295" s="384">
        <f t="shared" si="313"/>
        <v>0</v>
      </c>
      <c r="H295" s="384">
        <f t="shared" si="313"/>
        <v>0</v>
      </c>
      <c r="I295" s="384">
        <f t="shared" si="313"/>
        <v>274055.02</v>
      </c>
      <c r="J295" s="384">
        <f t="shared" si="313"/>
        <v>0</v>
      </c>
      <c r="K295" s="384">
        <f t="shared" si="313"/>
        <v>0</v>
      </c>
      <c r="L295" s="384">
        <f t="shared" si="313"/>
        <v>0</v>
      </c>
      <c r="M295" s="384">
        <f t="shared" si="313"/>
        <v>0</v>
      </c>
      <c r="N295" s="384">
        <f t="shared" si="313"/>
        <v>0</v>
      </c>
      <c r="O295" s="384">
        <f t="shared" si="313"/>
        <v>99297</v>
      </c>
      <c r="P295" s="384">
        <f t="shared" si="313"/>
        <v>0</v>
      </c>
      <c r="Q295" s="384">
        <f t="shared" si="313"/>
        <v>0</v>
      </c>
      <c r="R295" s="384">
        <f t="shared" si="313"/>
        <v>0</v>
      </c>
      <c r="S295" s="384">
        <f t="shared" si="313"/>
        <v>99297</v>
      </c>
      <c r="T295" s="384">
        <f t="shared" si="313"/>
        <v>174758.02</v>
      </c>
      <c r="U295" s="384">
        <f t="shared" si="313"/>
        <v>0</v>
      </c>
      <c r="V295" s="384">
        <f t="shared" si="313"/>
        <v>0</v>
      </c>
      <c r="W295" s="384">
        <f t="shared" si="313"/>
        <v>0</v>
      </c>
      <c r="X295" s="384">
        <f t="shared" si="313"/>
        <v>174758.02</v>
      </c>
      <c r="Y295" s="384">
        <f t="shared" si="313"/>
        <v>0</v>
      </c>
      <c r="Z295" s="384">
        <f t="shared" si="313"/>
        <v>0</v>
      </c>
      <c r="AA295" s="384">
        <f t="shared" si="313"/>
        <v>0</v>
      </c>
      <c r="AB295" s="384">
        <f t="shared" si="313"/>
        <v>0</v>
      </c>
      <c r="AC295" s="384">
        <f t="shared" si="313"/>
        <v>0</v>
      </c>
      <c r="AD295" s="384">
        <f t="shared" si="313"/>
        <v>0</v>
      </c>
      <c r="AE295" s="384">
        <f t="shared" si="313"/>
        <v>0</v>
      </c>
      <c r="AF295" s="384">
        <f t="shared" si="313"/>
        <v>0</v>
      </c>
      <c r="AG295" s="384">
        <f t="shared" si="313"/>
        <v>0</v>
      </c>
      <c r="AH295" s="386">
        <f t="shared" si="313"/>
        <v>0</v>
      </c>
      <c r="AI295" s="384">
        <f t="shared" si="313"/>
        <v>0</v>
      </c>
      <c r="AJ295" s="384">
        <f t="shared" si="313"/>
        <v>0</v>
      </c>
      <c r="AK295" s="384">
        <f t="shared" si="313"/>
        <v>0</v>
      </c>
      <c r="AL295" s="384">
        <f t="shared" si="313"/>
        <v>0</v>
      </c>
      <c r="AM295" s="386">
        <f t="shared" si="313"/>
        <v>0</v>
      </c>
      <c r="AN295" s="384">
        <v>0</v>
      </c>
      <c r="AO295" s="384">
        <v>0</v>
      </c>
      <c r="AP295" s="384">
        <v>0</v>
      </c>
      <c r="AQ295" s="384">
        <v>0</v>
      </c>
      <c r="AR295" s="386">
        <v>0</v>
      </c>
      <c r="AS295" s="384">
        <v>0</v>
      </c>
      <c r="AT295" s="384">
        <v>0</v>
      </c>
      <c r="AU295" s="384">
        <v>0</v>
      </c>
      <c r="AV295" s="384">
        <v>0</v>
      </c>
      <c r="AW295" s="386">
        <v>0</v>
      </c>
      <c r="AX295" s="384">
        <f t="shared" ref="AX295:BB295" si="314">SUM(AX296:AX298)</f>
        <v>0</v>
      </c>
      <c r="AY295" s="384">
        <f t="shared" si="314"/>
        <v>0</v>
      </c>
      <c r="AZ295" s="384">
        <f t="shared" si="314"/>
        <v>0</v>
      </c>
      <c r="BA295" s="384">
        <f t="shared" si="314"/>
        <v>0</v>
      </c>
      <c r="BB295" s="386">
        <f t="shared" si="314"/>
        <v>0</v>
      </c>
      <c r="BC295" s="384">
        <f t="shared" si="313"/>
        <v>0</v>
      </c>
      <c r="BD295" s="384">
        <f t="shared" si="313"/>
        <v>0</v>
      </c>
      <c r="BE295" s="384">
        <v>0</v>
      </c>
      <c r="BF295" s="384">
        <v>0</v>
      </c>
      <c r="BG295" s="384">
        <f t="shared" ref="BG295:BV295" si="315">SUM(BG296:BG298)</f>
        <v>0</v>
      </c>
      <c r="BH295" s="384">
        <f t="shared" si="315"/>
        <v>0</v>
      </c>
      <c r="BI295" s="384">
        <f t="shared" si="315"/>
        <v>0</v>
      </c>
      <c r="BJ295" s="384">
        <f t="shared" si="315"/>
        <v>0</v>
      </c>
      <c r="BK295" s="384">
        <f t="shared" si="315"/>
        <v>0</v>
      </c>
      <c r="BL295" s="384">
        <f t="shared" si="315"/>
        <v>0</v>
      </c>
      <c r="BM295" s="384">
        <f t="shared" si="315"/>
        <v>0</v>
      </c>
      <c r="BN295" s="384">
        <f t="shared" si="315"/>
        <v>0</v>
      </c>
      <c r="BO295" s="384">
        <f t="shared" si="315"/>
        <v>0</v>
      </c>
      <c r="BP295" s="384">
        <f t="shared" si="315"/>
        <v>0</v>
      </c>
      <c r="BQ295" s="384">
        <f t="shared" si="315"/>
        <v>0</v>
      </c>
      <c r="BR295" s="384">
        <f t="shared" si="315"/>
        <v>0</v>
      </c>
      <c r="BS295" s="384">
        <f t="shared" si="315"/>
        <v>0</v>
      </c>
      <c r="BT295" s="384">
        <f t="shared" si="315"/>
        <v>0</v>
      </c>
      <c r="BU295" s="386">
        <f t="shared" si="315"/>
        <v>0</v>
      </c>
      <c r="BV295" s="384">
        <f t="shared" si="315"/>
        <v>0</v>
      </c>
    </row>
    <row r="296" spans="1:74" ht="33.6" customHeight="1" x14ac:dyDescent="0.25">
      <c r="A296" s="382" t="s">
        <v>62</v>
      </c>
      <c r="B296" s="383" t="s">
        <v>10</v>
      </c>
      <c r="C296" s="374">
        <v>226</v>
      </c>
      <c r="D296" s="387" t="s">
        <v>658</v>
      </c>
      <c r="E296" s="384">
        <f>F296+G296+H296+I296</f>
        <v>99297</v>
      </c>
      <c r="F296" s="384"/>
      <c r="G296" s="384"/>
      <c r="H296" s="384"/>
      <c r="I296" s="384">
        <v>99297</v>
      </c>
      <c r="J296" s="384">
        <f>K296+L296+M296+N296</f>
        <v>0</v>
      </c>
      <c r="K296" s="384"/>
      <c r="L296" s="384"/>
      <c r="M296" s="384"/>
      <c r="N296" s="384"/>
      <c r="O296" s="384">
        <f>P296+Q296+R296+S296</f>
        <v>99297</v>
      </c>
      <c r="P296" s="384"/>
      <c r="Q296" s="384"/>
      <c r="R296" s="384"/>
      <c r="S296" s="384">
        <v>99297</v>
      </c>
      <c r="T296" s="384">
        <f>U296+V296+W296+X296</f>
        <v>0</v>
      </c>
      <c r="U296" s="384"/>
      <c r="V296" s="384"/>
      <c r="W296" s="384"/>
      <c r="X296" s="384"/>
      <c r="Y296" s="384">
        <f>Z296+AA296+AB296+AC296</f>
        <v>0</v>
      </c>
      <c r="Z296" s="384"/>
      <c r="AA296" s="384"/>
      <c r="AB296" s="384"/>
      <c r="AC296" s="384"/>
      <c r="AD296" s="384">
        <f>SUM(AE296:AH296)</f>
        <v>0</v>
      </c>
      <c r="AE296" s="384"/>
      <c r="AF296" s="384"/>
      <c r="AG296" s="384"/>
      <c r="AH296" s="386"/>
      <c r="AI296" s="384">
        <f>SUM(AJ296:AM296)</f>
        <v>0</v>
      </c>
      <c r="AJ296" s="384"/>
      <c r="AK296" s="384"/>
      <c r="AL296" s="384"/>
      <c r="AM296" s="386"/>
      <c r="AN296" s="384">
        <v>0</v>
      </c>
      <c r="AO296" s="384"/>
      <c r="AP296" s="384"/>
      <c r="AQ296" s="384"/>
      <c r="AR296" s="386"/>
      <c r="AS296" s="384">
        <v>0</v>
      </c>
      <c r="AT296" s="384"/>
      <c r="AU296" s="384"/>
      <c r="AV296" s="384"/>
      <c r="AW296" s="386"/>
      <c r="AX296" s="384">
        <f>SUM(AY296:BB296)</f>
        <v>0</v>
      </c>
      <c r="AY296" s="384"/>
      <c r="AZ296" s="384"/>
      <c r="BA296" s="384"/>
      <c r="BB296" s="386"/>
      <c r="BC296" s="384">
        <f>E296-J296-O296-T296-Y296-AD296-AI296-AN296-AS296-AX296</f>
        <v>0</v>
      </c>
      <c r="BD296" s="384"/>
      <c r="BE296" s="384"/>
      <c r="BF296" s="384"/>
      <c r="BG296" s="384">
        <f>SUM(BH296:BK296)</f>
        <v>0</v>
      </c>
      <c r="BH296" s="384"/>
      <c r="BI296" s="384"/>
      <c r="BJ296" s="384"/>
      <c r="BK296" s="384"/>
      <c r="BL296" s="384">
        <f>BM296+BN296+BO296+BP296</f>
        <v>0</v>
      </c>
      <c r="BM296" s="384"/>
      <c r="BN296" s="384"/>
      <c r="BO296" s="384"/>
      <c r="BP296" s="384"/>
      <c r="BQ296" s="384">
        <f>SUM(BR296:BU296)</f>
        <v>0</v>
      </c>
      <c r="BR296" s="384"/>
      <c r="BS296" s="384"/>
      <c r="BT296" s="384"/>
      <c r="BU296" s="386"/>
      <c r="BV296" s="384">
        <f>BC296-BQ296</f>
        <v>0</v>
      </c>
    </row>
    <row r="297" spans="1:74" ht="44.45" customHeight="1" x14ac:dyDescent="0.25">
      <c r="A297" s="382" t="s">
        <v>63</v>
      </c>
      <c r="B297" s="383" t="s">
        <v>1</v>
      </c>
      <c r="C297" s="374">
        <v>226</v>
      </c>
      <c r="D297" s="387" t="s">
        <v>654</v>
      </c>
      <c r="E297" s="384">
        <f>F297+G297+H297+I297</f>
        <v>165401.26999999999</v>
      </c>
      <c r="F297" s="384"/>
      <c r="G297" s="384"/>
      <c r="H297" s="384"/>
      <c r="I297" s="384">
        <v>165401.26999999999</v>
      </c>
      <c r="J297" s="384">
        <f>K297+L297+M297+N297</f>
        <v>0</v>
      </c>
      <c r="K297" s="384"/>
      <c r="L297" s="384"/>
      <c r="M297" s="384"/>
      <c r="N297" s="384"/>
      <c r="O297" s="384">
        <f>P297+Q297+R297+S297</f>
        <v>0</v>
      </c>
      <c r="P297" s="384"/>
      <c r="Q297" s="384"/>
      <c r="R297" s="384"/>
      <c r="S297" s="384">
        <v>0</v>
      </c>
      <c r="T297" s="384">
        <f>U297+V297+W297+X297</f>
        <v>165401.26999999999</v>
      </c>
      <c r="U297" s="384"/>
      <c r="V297" s="384"/>
      <c r="W297" s="384"/>
      <c r="X297" s="384">
        <v>165401.26999999999</v>
      </c>
      <c r="Y297" s="384">
        <f>Z297+AA297+AB297+AC297</f>
        <v>0</v>
      </c>
      <c r="Z297" s="384"/>
      <c r="AA297" s="384"/>
      <c r="AB297" s="384"/>
      <c r="AC297" s="384"/>
      <c r="AD297" s="384">
        <f>SUM(AE297:AH297)</f>
        <v>0</v>
      </c>
      <c r="AE297" s="384"/>
      <c r="AF297" s="384"/>
      <c r="AG297" s="384"/>
      <c r="AH297" s="386"/>
      <c r="AI297" s="384">
        <f>SUM(AJ297:AM297)</f>
        <v>0</v>
      </c>
      <c r="AJ297" s="384"/>
      <c r="AK297" s="384"/>
      <c r="AL297" s="384"/>
      <c r="AM297" s="386"/>
      <c r="AN297" s="384">
        <v>0</v>
      </c>
      <c r="AO297" s="384"/>
      <c r="AP297" s="384"/>
      <c r="AQ297" s="384"/>
      <c r="AR297" s="386"/>
      <c r="AS297" s="384">
        <v>0</v>
      </c>
      <c r="AT297" s="384"/>
      <c r="AU297" s="384"/>
      <c r="AV297" s="384"/>
      <c r="AW297" s="386"/>
      <c r="AX297" s="384">
        <f>SUM(AY297:BB297)</f>
        <v>0</v>
      </c>
      <c r="AY297" s="384"/>
      <c r="AZ297" s="384"/>
      <c r="BA297" s="384"/>
      <c r="BB297" s="386"/>
      <c r="BC297" s="384">
        <f t="shared" ref="BC297:BC298" si="316">E297-J297-O297-T297-Y297-AD297-AI297-AN297-AS297-AX297</f>
        <v>0</v>
      </c>
      <c r="BD297" s="384"/>
      <c r="BE297" s="384"/>
      <c r="BF297" s="384"/>
      <c r="BG297" s="384">
        <f>SUM(BH297:BK297)</f>
        <v>0</v>
      </c>
      <c r="BH297" s="384"/>
      <c r="BI297" s="384"/>
      <c r="BJ297" s="384"/>
      <c r="BK297" s="384"/>
      <c r="BL297" s="384">
        <f>BM297+BN297+BO297+BP297</f>
        <v>0</v>
      </c>
      <c r="BM297" s="384"/>
      <c r="BN297" s="384"/>
      <c r="BO297" s="384"/>
      <c r="BP297" s="384"/>
      <c r="BQ297" s="384">
        <f>SUM(BR297:BU297)</f>
        <v>0</v>
      </c>
      <c r="BR297" s="384"/>
      <c r="BS297" s="384"/>
      <c r="BT297" s="384"/>
      <c r="BU297" s="386"/>
      <c r="BV297" s="384">
        <f>BC297-BQ297</f>
        <v>0</v>
      </c>
    </row>
    <row r="298" spans="1:74" ht="33.6" customHeight="1" x14ac:dyDescent="0.25">
      <c r="A298" s="382" t="s">
        <v>64</v>
      </c>
      <c r="B298" s="388" t="s">
        <v>22</v>
      </c>
      <c r="C298" s="377">
        <v>226</v>
      </c>
      <c r="D298" s="390" t="s">
        <v>659</v>
      </c>
      <c r="E298" s="384">
        <f>F298+G298+H298+I298</f>
        <v>9356.75</v>
      </c>
      <c r="F298" s="384"/>
      <c r="G298" s="384"/>
      <c r="H298" s="384"/>
      <c r="I298" s="384">
        <v>9356.75</v>
      </c>
      <c r="J298" s="384">
        <f>K298+L298+M298+N298</f>
        <v>0</v>
      </c>
      <c r="K298" s="384"/>
      <c r="L298" s="384"/>
      <c r="M298" s="384"/>
      <c r="N298" s="384"/>
      <c r="O298" s="384">
        <f>P298+Q298+R298+S298</f>
        <v>0</v>
      </c>
      <c r="P298" s="384"/>
      <c r="Q298" s="384"/>
      <c r="R298" s="384"/>
      <c r="S298" s="384">
        <v>0</v>
      </c>
      <c r="T298" s="384">
        <f>U298+V298+W298+X298</f>
        <v>9356.75</v>
      </c>
      <c r="U298" s="384"/>
      <c r="V298" s="384"/>
      <c r="W298" s="384"/>
      <c r="X298" s="384">
        <v>9356.75</v>
      </c>
      <c r="Y298" s="384">
        <f>Z298+AA298+AB298+AC298</f>
        <v>0</v>
      </c>
      <c r="Z298" s="384"/>
      <c r="AA298" s="384"/>
      <c r="AB298" s="384"/>
      <c r="AC298" s="384"/>
      <c r="AD298" s="384">
        <f>SUM(AE298:AH298)</f>
        <v>0</v>
      </c>
      <c r="AE298" s="384"/>
      <c r="AF298" s="384"/>
      <c r="AG298" s="384"/>
      <c r="AH298" s="386"/>
      <c r="AI298" s="384">
        <f>SUM(AJ298:AM298)</f>
        <v>0</v>
      </c>
      <c r="AJ298" s="384"/>
      <c r="AK298" s="384"/>
      <c r="AL298" s="384"/>
      <c r="AM298" s="386"/>
      <c r="AN298" s="384">
        <v>0</v>
      </c>
      <c r="AO298" s="384"/>
      <c r="AP298" s="384"/>
      <c r="AQ298" s="384"/>
      <c r="AR298" s="386"/>
      <c r="AS298" s="384">
        <v>0</v>
      </c>
      <c r="AT298" s="384"/>
      <c r="AU298" s="384"/>
      <c r="AV298" s="384"/>
      <c r="AW298" s="386"/>
      <c r="AX298" s="384">
        <f>SUM(AY298:BB298)</f>
        <v>0</v>
      </c>
      <c r="AY298" s="384"/>
      <c r="AZ298" s="384"/>
      <c r="BA298" s="384"/>
      <c r="BB298" s="386"/>
      <c r="BC298" s="384">
        <f t="shared" si="316"/>
        <v>0</v>
      </c>
      <c r="BD298" s="384"/>
      <c r="BE298" s="384"/>
      <c r="BF298" s="384"/>
      <c r="BG298" s="384">
        <f>SUM(BH298:BK298)</f>
        <v>0</v>
      </c>
      <c r="BH298" s="384"/>
      <c r="BI298" s="384"/>
      <c r="BJ298" s="384"/>
      <c r="BK298" s="384"/>
      <c r="BL298" s="384">
        <f>BM298+BN298+BO298+BP298</f>
        <v>0</v>
      </c>
      <c r="BM298" s="384"/>
      <c r="BN298" s="384"/>
      <c r="BO298" s="384"/>
      <c r="BP298" s="384"/>
      <c r="BQ298" s="384">
        <f>SUM(BR298:BU298)</f>
        <v>0</v>
      </c>
      <c r="BR298" s="384"/>
      <c r="BS298" s="384"/>
      <c r="BT298" s="384"/>
      <c r="BU298" s="386"/>
      <c r="BV298" s="384">
        <f>BC298-BQ298</f>
        <v>0</v>
      </c>
    </row>
    <row r="299" spans="1:74" ht="82.9" customHeight="1" x14ac:dyDescent="0.25">
      <c r="A299" s="382" t="s">
        <v>422</v>
      </c>
      <c r="B299" s="383" t="s">
        <v>453</v>
      </c>
      <c r="C299" s="374">
        <v>310</v>
      </c>
      <c r="D299" s="425"/>
      <c r="E299" s="384">
        <f>E300+E301</f>
        <v>119156554.82000001</v>
      </c>
      <c r="F299" s="384">
        <f t="shared" ref="F299:BU299" si="317">F300+F301</f>
        <v>50560381.719999999</v>
      </c>
      <c r="G299" s="384">
        <f t="shared" si="317"/>
        <v>21766313.169999998</v>
      </c>
      <c r="H299" s="384">
        <f t="shared" si="317"/>
        <v>10107467.100000001</v>
      </c>
      <c r="I299" s="384">
        <f t="shared" si="317"/>
        <v>36722392.830000006</v>
      </c>
      <c r="J299" s="384">
        <f t="shared" si="317"/>
        <v>0</v>
      </c>
      <c r="K299" s="384">
        <f t="shared" si="317"/>
        <v>0</v>
      </c>
      <c r="L299" s="384">
        <f t="shared" si="317"/>
        <v>0</v>
      </c>
      <c r="M299" s="384">
        <f t="shared" si="317"/>
        <v>0</v>
      </c>
      <c r="N299" s="384">
        <f t="shared" si="317"/>
        <v>0</v>
      </c>
      <c r="O299" s="384">
        <f t="shared" si="317"/>
        <v>0</v>
      </c>
      <c r="P299" s="384">
        <f t="shared" si="317"/>
        <v>0</v>
      </c>
      <c r="Q299" s="384">
        <f t="shared" si="317"/>
        <v>0</v>
      </c>
      <c r="R299" s="384">
        <f t="shared" si="317"/>
        <v>0</v>
      </c>
      <c r="S299" s="384">
        <f t="shared" si="317"/>
        <v>0</v>
      </c>
      <c r="T299" s="384">
        <f t="shared" si="317"/>
        <v>0</v>
      </c>
      <c r="U299" s="384">
        <f t="shared" si="317"/>
        <v>0</v>
      </c>
      <c r="V299" s="384">
        <f t="shared" si="317"/>
        <v>0</v>
      </c>
      <c r="W299" s="384">
        <f t="shared" si="317"/>
        <v>0</v>
      </c>
      <c r="X299" s="384">
        <f t="shared" si="317"/>
        <v>0</v>
      </c>
      <c r="Y299" s="384">
        <f t="shared" si="317"/>
        <v>0</v>
      </c>
      <c r="Z299" s="384">
        <f t="shared" si="317"/>
        <v>0</v>
      </c>
      <c r="AA299" s="384">
        <f t="shared" si="317"/>
        <v>0</v>
      </c>
      <c r="AB299" s="384">
        <f t="shared" si="317"/>
        <v>0</v>
      </c>
      <c r="AC299" s="384">
        <f t="shared" si="317"/>
        <v>0</v>
      </c>
      <c r="AD299" s="384">
        <f t="shared" si="317"/>
        <v>114772942.32000001</v>
      </c>
      <c r="AE299" s="384">
        <f t="shared" si="317"/>
        <v>48848480.329999998</v>
      </c>
      <c r="AF299" s="384">
        <f t="shared" si="317"/>
        <v>21029337.289999999</v>
      </c>
      <c r="AG299" s="384">
        <f t="shared" si="317"/>
        <v>9765242.8900000006</v>
      </c>
      <c r="AH299" s="384">
        <f t="shared" si="317"/>
        <v>35129881.810000002</v>
      </c>
      <c r="AI299" s="384">
        <f t="shared" si="317"/>
        <v>4383612.5</v>
      </c>
      <c r="AJ299" s="384">
        <f t="shared" si="317"/>
        <v>1695582.16</v>
      </c>
      <c r="AK299" s="384">
        <f t="shared" si="317"/>
        <v>738159.64</v>
      </c>
      <c r="AL299" s="384">
        <f t="shared" si="317"/>
        <v>342224.2</v>
      </c>
      <c r="AM299" s="384">
        <f t="shared" si="317"/>
        <v>1607646.5</v>
      </c>
      <c r="AN299" s="384">
        <v>0</v>
      </c>
      <c r="AO299" s="384">
        <v>0</v>
      </c>
      <c r="AP299" s="384">
        <v>0</v>
      </c>
      <c r="AQ299" s="384">
        <v>0</v>
      </c>
      <c r="AR299" s="384">
        <v>0</v>
      </c>
      <c r="AS299" s="384">
        <v>0</v>
      </c>
      <c r="AT299" s="384">
        <v>0</v>
      </c>
      <c r="AU299" s="384">
        <v>0</v>
      </c>
      <c r="AV299" s="384">
        <v>0</v>
      </c>
      <c r="AW299" s="384">
        <v>0</v>
      </c>
      <c r="AX299" s="384">
        <f t="shared" ref="AX299:BB299" si="318">AX300+AX301</f>
        <v>0</v>
      </c>
      <c r="AY299" s="384">
        <f t="shared" si="318"/>
        <v>0</v>
      </c>
      <c r="AZ299" s="384">
        <f t="shared" si="318"/>
        <v>0</v>
      </c>
      <c r="BA299" s="384">
        <f t="shared" si="318"/>
        <v>0</v>
      </c>
      <c r="BB299" s="384">
        <f t="shared" si="318"/>
        <v>0</v>
      </c>
      <c r="BC299" s="384">
        <f t="shared" si="317"/>
        <v>0</v>
      </c>
      <c r="BD299" s="384">
        <f t="shared" si="317"/>
        <v>2241.25</v>
      </c>
      <c r="BE299" s="384">
        <f>BE300+BE301</f>
        <v>2670.9399999999996</v>
      </c>
      <c r="BF299" s="384">
        <f>BF300+BF301</f>
        <v>2670.9399999999996</v>
      </c>
      <c r="BG299" s="384">
        <f t="shared" si="317"/>
        <v>0</v>
      </c>
      <c r="BH299" s="384">
        <f t="shared" si="317"/>
        <v>0</v>
      </c>
      <c r="BI299" s="384">
        <f t="shared" si="317"/>
        <v>0</v>
      </c>
      <c r="BJ299" s="384">
        <f t="shared" si="317"/>
        <v>0</v>
      </c>
      <c r="BK299" s="384">
        <f t="shared" si="317"/>
        <v>0</v>
      </c>
      <c r="BL299" s="384">
        <f t="shared" si="317"/>
        <v>5.8207660913467407E-11</v>
      </c>
      <c r="BM299" s="384">
        <f t="shared" si="317"/>
        <v>16319.230000000214</v>
      </c>
      <c r="BN299" s="384">
        <f t="shared" si="317"/>
        <v>-1183.7600000001257</v>
      </c>
      <c r="BO299" s="384">
        <f t="shared" si="317"/>
        <v>9.9999999511055648E-3</v>
      </c>
      <c r="BP299" s="384">
        <f t="shared" si="317"/>
        <v>-15135.479999999981</v>
      </c>
      <c r="BQ299" s="384">
        <f t="shared" si="317"/>
        <v>0</v>
      </c>
      <c r="BR299" s="384">
        <f t="shared" si="317"/>
        <v>0</v>
      </c>
      <c r="BS299" s="384">
        <f t="shared" si="317"/>
        <v>0</v>
      </c>
      <c r="BT299" s="384">
        <f t="shared" si="317"/>
        <v>0</v>
      </c>
      <c r="BU299" s="384">
        <f t="shared" si="317"/>
        <v>0</v>
      </c>
      <c r="BV299" s="384">
        <f>BV300+BV301</f>
        <v>0</v>
      </c>
    </row>
    <row r="300" spans="1:74" ht="79.150000000000006" customHeight="1" x14ac:dyDescent="0.25">
      <c r="A300" s="382" t="s">
        <v>72</v>
      </c>
      <c r="B300" s="383" t="s">
        <v>453</v>
      </c>
      <c r="C300" s="374">
        <v>310</v>
      </c>
      <c r="D300" s="387" t="s">
        <v>767</v>
      </c>
      <c r="E300" s="384">
        <f>F300+G300+H300+I300</f>
        <v>114772942.32000001</v>
      </c>
      <c r="F300" s="384">
        <v>48848480.329999998</v>
      </c>
      <c r="G300" s="384">
        <v>21029337.289999999</v>
      </c>
      <c r="H300" s="384">
        <v>9765242.8900000006</v>
      </c>
      <c r="I300" s="384">
        <v>35129881.810000002</v>
      </c>
      <c r="J300" s="384">
        <f>K300+L300+M300+N300</f>
        <v>0</v>
      </c>
      <c r="K300" s="384"/>
      <c r="L300" s="384"/>
      <c r="M300" s="384"/>
      <c r="N300" s="384"/>
      <c r="O300" s="384">
        <f>P300+Q300+R300+S300</f>
        <v>0</v>
      </c>
      <c r="P300" s="384"/>
      <c r="Q300" s="384"/>
      <c r="R300" s="384"/>
      <c r="S300" s="384"/>
      <c r="T300" s="384">
        <f>U300+V300+W300+X300</f>
        <v>0</v>
      </c>
      <c r="U300" s="384"/>
      <c r="V300" s="384"/>
      <c r="W300" s="384"/>
      <c r="X300" s="384"/>
      <c r="Y300" s="384">
        <f>Z300+AA300+AB300+AC300</f>
        <v>0</v>
      </c>
      <c r="Z300" s="384"/>
      <c r="AA300" s="384"/>
      <c r="AB300" s="384"/>
      <c r="AC300" s="384"/>
      <c r="AD300" s="384">
        <f>SUM(AE300:AH300)</f>
        <v>114772942.32000001</v>
      </c>
      <c r="AE300" s="384">
        <v>48848480.329999998</v>
      </c>
      <c r="AF300" s="384">
        <v>21029337.289999999</v>
      </c>
      <c r="AG300" s="384">
        <v>9765242.8900000006</v>
      </c>
      <c r="AH300" s="386">
        <v>35129881.810000002</v>
      </c>
      <c r="AI300" s="384">
        <f>SUM(AJ300:AM300)</f>
        <v>0</v>
      </c>
      <c r="AJ300" s="384"/>
      <c r="AK300" s="384"/>
      <c r="AL300" s="384"/>
      <c r="AM300" s="386">
        <v>0</v>
      </c>
      <c r="AN300" s="384">
        <v>0</v>
      </c>
      <c r="AO300" s="384"/>
      <c r="AP300" s="384"/>
      <c r="AQ300" s="384"/>
      <c r="AR300" s="386"/>
      <c r="AS300" s="384">
        <v>0</v>
      </c>
      <c r="AT300" s="384"/>
      <c r="AU300" s="384"/>
      <c r="AV300" s="384"/>
      <c r="AW300" s="386"/>
      <c r="AX300" s="384">
        <f>SUM(AY300:BB300)</f>
        <v>0</v>
      </c>
      <c r="AY300" s="384"/>
      <c r="AZ300" s="384"/>
      <c r="BA300" s="384"/>
      <c r="BB300" s="386"/>
      <c r="BC300" s="384">
        <f>E300-J300-O300-T300-Y300-AD300-AI300-AN300-AS300-AX300</f>
        <v>0</v>
      </c>
      <c r="BD300" s="384">
        <v>2165.0500000000002</v>
      </c>
      <c r="BE300" s="384">
        <v>2574.7399999999998</v>
      </c>
      <c r="BF300" s="384">
        <v>2574.7399999999998</v>
      </c>
      <c r="BG300" s="384">
        <f>BH300+BI300+BJ300+BK300</f>
        <v>0</v>
      </c>
      <c r="BH300" s="384"/>
      <c r="BI300" s="384"/>
      <c r="BJ300" s="384"/>
      <c r="BK300" s="386"/>
      <c r="BL300" s="384">
        <f>BM300+BN300+BO300+BP300</f>
        <v>0</v>
      </c>
      <c r="BM300" s="384">
        <f t="shared" ref="BM300:BP303" si="319">F300-K300-P300-U300-Z300-AE300-BH300-AY300-AJ300-AO300-AT300</f>
        <v>0</v>
      </c>
      <c r="BN300" s="384">
        <f t="shared" si="319"/>
        <v>0</v>
      </c>
      <c r="BO300" s="384">
        <f t="shared" si="319"/>
        <v>0</v>
      </c>
      <c r="BP300" s="384">
        <f t="shared" si="319"/>
        <v>0</v>
      </c>
      <c r="BQ300" s="384">
        <f>SUM(BR300:BU300)</f>
        <v>0</v>
      </c>
      <c r="BR300" s="384"/>
      <c r="BS300" s="384"/>
      <c r="BT300" s="384"/>
      <c r="BU300" s="386"/>
      <c r="BV300" s="384">
        <f>BC300-BQ300</f>
        <v>0</v>
      </c>
    </row>
    <row r="301" spans="1:74" ht="172.15" customHeight="1" x14ac:dyDescent="0.25">
      <c r="A301" s="382" t="s">
        <v>462</v>
      </c>
      <c r="B301" s="383" t="s">
        <v>453</v>
      </c>
      <c r="C301" s="374">
        <v>310</v>
      </c>
      <c r="D301" s="387" t="s">
        <v>768</v>
      </c>
      <c r="E301" s="384">
        <f>F301+G301+H301+I301</f>
        <v>4383612.5</v>
      </c>
      <c r="F301" s="384">
        <f>817758.67+894142.72</f>
        <v>1711901.3900000001</v>
      </c>
      <c r="G301" s="384">
        <f>352046.22+384929.66</f>
        <v>736975.87999999989</v>
      </c>
      <c r="H301" s="384">
        <f>163477.18+178747.03</f>
        <v>342224.20999999996</v>
      </c>
      <c r="I301" s="384">
        <v>1592511.02</v>
      </c>
      <c r="J301" s="384">
        <f>K301+L301+M301+N301</f>
        <v>0</v>
      </c>
      <c r="K301" s="384"/>
      <c r="L301" s="384"/>
      <c r="M301" s="384"/>
      <c r="N301" s="384"/>
      <c r="O301" s="384">
        <f>P301+Q301+R301+S301</f>
        <v>0</v>
      </c>
      <c r="P301" s="384"/>
      <c r="Q301" s="384"/>
      <c r="R301" s="384"/>
      <c r="S301" s="384"/>
      <c r="T301" s="384">
        <f>U301+V301+W301+X301</f>
        <v>0</v>
      </c>
      <c r="U301" s="384"/>
      <c r="V301" s="384"/>
      <c r="W301" s="384"/>
      <c r="X301" s="384"/>
      <c r="Y301" s="384">
        <f>Z301+AA301+AB301+AC301</f>
        <v>0</v>
      </c>
      <c r="Z301" s="384"/>
      <c r="AA301" s="384"/>
      <c r="AB301" s="384"/>
      <c r="AC301" s="384"/>
      <c r="AD301" s="384">
        <f>SUM(AE301:AH301)</f>
        <v>0</v>
      </c>
      <c r="AE301" s="384"/>
      <c r="AF301" s="384"/>
      <c r="AG301" s="384"/>
      <c r="AH301" s="386"/>
      <c r="AI301" s="384">
        <f>SUM(AJ301:AM301)</f>
        <v>4383612.5</v>
      </c>
      <c r="AJ301" s="384">
        <v>1695582.16</v>
      </c>
      <c r="AK301" s="384">
        <v>738159.64</v>
      </c>
      <c r="AL301" s="384">
        <v>342224.2</v>
      </c>
      <c r="AM301" s="384">
        <v>1607646.5</v>
      </c>
      <c r="AN301" s="384">
        <v>0</v>
      </c>
      <c r="AO301" s="384"/>
      <c r="AP301" s="384"/>
      <c r="AQ301" s="384"/>
      <c r="AR301" s="384"/>
      <c r="AS301" s="384">
        <v>0</v>
      </c>
      <c r="AT301" s="384"/>
      <c r="AU301" s="384"/>
      <c r="AV301" s="384"/>
      <c r="AW301" s="384"/>
      <c r="AX301" s="384">
        <f>SUM(AY301:BB301)</f>
        <v>0</v>
      </c>
      <c r="AY301" s="384"/>
      <c r="AZ301" s="384"/>
      <c r="BA301" s="384"/>
      <c r="BB301" s="384"/>
      <c r="BC301" s="384">
        <f>E301-J301-O301-T301-Y301-AD301-AI301-AN301-AS301-AX301</f>
        <v>0</v>
      </c>
      <c r="BD301" s="384">
        <v>76.2</v>
      </c>
      <c r="BE301" s="384">
        <v>96.2</v>
      </c>
      <c r="BF301" s="384">
        <v>96.2</v>
      </c>
      <c r="BG301" s="384">
        <f>BH301+BI301+BJ301+BK301</f>
        <v>0</v>
      </c>
      <c r="BH301" s="384"/>
      <c r="BI301" s="384"/>
      <c r="BJ301" s="384"/>
      <c r="BK301" s="384"/>
      <c r="BL301" s="384">
        <f>BM301+BN301+BO301+BP301</f>
        <v>5.8207660913467407E-11</v>
      </c>
      <c r="BM301" s="384">
        <f t="shared" si="319"/>
        <v>16319.230000000214</v>
      </c>
      <c r="BN301" s="384">
        <f t="shared" si="319"/>
        <v>-1183.7600000001257</v>
      </c>
      <c r="BO301" s="384">
        <f t="shared" si="319"/>
        <v>9.9999999511055648E-3</v>
      </c>
      <c r="BP301" s="384">
        <f t="shared" si="319"/>
        <v>-15135.479999999981</v>
      </c>
      <c r="BQ301" s="384">
        <f>SUM(BR301:BU301)</f>
        <v>0</v>
      </c>
      <c r="BR301" s="384"/>
      <c r="BS301" s="384"/>
      <c r="BT301" s="384"/>
      <c r="BU301" s="384"/>
      <c r="BV301" s="384">
        <f>BC301-BQ301</f>
        <v>0</v>
      </c>
    </row>
    <row r="302" spans="1:74" ht="69.75" customHeight="1" x14ac:dyDescent="0.25">
      <c r="A302" s="428" t="s">
        <v>463</v>
      </c>
      <c r="B302" s="383" t="s">
        <v>769</v>
      </c>
      <c r="C302" s="374">
        <v>310</v>
      </c>
      <c r="D302" s="392"/>
      <c r="E302" s="384">
        <f>F302+G302+H302+I302</f>
        <v>247315102.27000001</v>
      </c>
      <c r="F302" s="384">
        <f>AE302+AJ302+AO302+AT302+AY302</f>
        <v>98029999.210000008</v>
      </c>
      <c r="G302" s="384">
        <f t="shared" ref="G302:H302" si="320">AF302+AK302+AP302+AU302+AZ302</f>
        <v>42308300.18</v>
      </c>
      <c r="H302" s="384">
        <f t="shared" si="320"/>
        <v>19777054.919999998</v>
      </c>
      <c r="I302" s="384">
        <f>AH302+AM302+AR302+AW302+BB302+2068000+2576210+2118335+2404456.5+1542000+1591000</f>
        <v>87199747.960000008</v>
      </c>
      <c r="J302" s="384">
        <f>K302+L302+M302+N302</f>
        <v>0</v>
      </c>
      <c r="K302" s="384"/>
      <c r="L302" s="384"/>
      <c r="M302" s="384"/>
      <c r="N302" s="384"/>
      <c r="O302" s="384">
        <f>P302+Q302+R302+S302</f>
        <v>0</v>
      </c>
      <c r="P302" s="384"/>
      <c r="Q302" s="384"/>
      <c r="R302" s="384"/>
      <c r="S302" s="384"/>
      <c r="T302" s="384">
        <f>U302+V302+W302+X302</f>
        <v>0</v>
      </c>
      <c r="U302" s="384"/>
      <c r="V302" s="384"/>
      <c r="W302" s="384"/>
      <c r="X302" s="384"/>
      <c r="Y302" s="384">
        <f>Z302+AA302+AB302+AC302</f>
        <v>0</v>
      </c>
      <c r="Z302" s="384"/>
      <c r="AA302" s="384"/>
      <c r="AB302" s="384"/>
      <c r="AC302" s="384"/>
      <c r="AD302" s="384">
        <f>SUM(AE302:AH302)</f>
        <v>125386320</v>
      </c>
      <c r="AE302" s="384">
        <v>63973431.859999999</v>
      </c>
      <c r="AF302" s="384">
        <v>27540649.59</v>
      </c>
      <c r="AG302" s="384">
        <v>12788854.34</v>
      </c>
      <c r="AH302" s="386">
        <v>21083384.210000001</v>
      </c>
      <c r="AI302" s="384">
        <f>SUM(AJ302:AM302)</f>
        <v>37095455.990000002</v>
      </c>
      <c r="AJ302" s="384">
        <f>8954097.86+1426336.17+2176219.62+3064063.81+1074758.77</f>
        <v>16695476.229999999</v>
      </c>
      <c r="AK302" s="384">
        <f>3898102.82+620945.31+947401.74+1333918.39+467888.59</f>
        <v>7268256.8499999996</v>
      </c>
      <c r="AL302" s="384">
        <f>1807231.32+287881.52+842536.24+432046.84</f>
        <v>3369695.92</v>
      </c>
      <c r="AM302" s="386">
        <f>4638931.99+314837+3850222+958036</f>
        <v>9762026.9900000002</v>
      </c>
      <c r="AN302" s="384">
        <v>49850098.790000007</v>
      </c>
      <c r="AO302" s="384">
        <v>17361091.120000001</v>
      </c>
      <c r="AP302" s="384">
        <v>7499393.7399999993</v>
      </c>
      <c r="AQ302" s="384">
        <v>3618504.6599999992</v>
      </c>
      <c r="AR302" s="386">
        <v>21371109.270000003</v>
      </c>
      <c r="AS302" s="384">
        <v>18304625.990000002</v>
      </c>
      <c r="AT302" s="384">
        <v>0</v>
      </c>
      <c r="AU302" s="384">
        <v>0</v>
      </c>
      <c r="AV302" s="384">
        <v>0</v>
      </c>
      <c r="AW302" s="386">
        <v>18304625.990000002</v>
      </c>
      <c r="AX302" s="384">
        <f>SUM(AY302:BB302)</f>
        <v>4378600</v>
      </c>
      <c r="AY302" s="384">
        <v>0</v>
      </c>
      <c r="AZ302" s="384">
        <v>0</v>
      </c>
      <c r="BA302" s="384">
        <v>0</v>
      </c>
      <c r="BB302" s="386">
        <f>2189300+2189300</f>
        <v>4378600</v>
      </c>
      <c r="BC302" s="384">
        <f>E302-J302-O302-T302-Y302-AD302-AI302-AN302-AS302-AX302</f>
        <v>12300001.499999993</v>
      </c>
      <c r="BD302" s="384">
        <v>5315.9</v>
      </c>
      <c r="BE302" s="384" t="s">
        <v>328</v>
      </c>
      <c r="BF302" s="384" t="s">
        <v>328</v>
      </c>
      <c r="BG302" s="384">
        <f>BH302+BI302+BJ302+BK302</f>
        <v>0</v>
      </c>
      <c r="BH302" s="384">
        <v>0</v>
      </c>
      <c r="BI302" s="384">
        <v>0</v>
      </c>
      <c r="BJ302" s="384">
        <v>0</v>
      </c>
      <c r="BK302" s="384">
        <v>0</v>
      </c>
      <c r="BL302" s="384">
        <f>BM302+BN302+BO302+BP302</f>
        <v>12300001.500000011</v>
      </c>
      <c r="BM302" s="384">
        <f t="shared" si="319"/>
        <v>1.1175870895385742E-8</v>
      </c>
      <c r="BN302" s="384">
        <f t="shared" si="319"/>
        <v>9.3132257461547852E-10</v>
      </c>
      <c r="BO302" s="384">
        <f t="shared" si="319"/>
        <v>-9.3132257461547852E-10</v>
      </c>
      <c r="BP302" s="384">
        <f t="shared" si="319"/>
        <v>12300001.5</v>
      </c>
      <c r="BQ302" s="384">
        <f>SUM(BR302:BU302)</f>
        <v>0</v>
      </c>
      <c r="BR302" s="384">
        <v>0</v>
      </c>
      <c r="BS302" s="384">
        <v>0</v>
      </c>
      <c r="BT302" s="384">
        <v>0</v>
      </c>
      <c r="BU302" s="386">
        <v>0</v>
      </c>
      <c r="BV302" s="384">
        <f>BC302-BQ302</f>
        <v>12300001.499999993</v>
      </c>
    </row>
    <row r="303" spans="1:74" ht="79.150000000000006" customHeight="1" x14ac:dyDescent="0.25">
      <c r="A303" s="382" t="s">
        <v>706</v>
      </c>
      <c r="B303" s="383" t="s">
        <v>707</v>
      </c>
      <c r="C303" s="374">
        <v>296</v>
      </c>
      <c r="D303" s="392"/>
      <c r="E303" s="384">
        <f>F303+G303+H303+I303</f>
        <v>226376.95</v>
      </c>
      <c r="F303" s="384">
        <v>0</v>
      </c>
      <c r="G303" s="384">
        <v>0</v>
      </c>
      <c r="H303" s="384">
        <v>0</v>
      </c>
      <c r="I303" s="384">
        <v>226376.95</v>
      </c>
      <c r="J303" s="384">
        <v>0</v>
      </c>
      <c r="K303" s="384"/>
      <c r="L303" s="384"/>
      <c r="M303" s="384"/>
      <c r="N303" s="384"/>
      <c r="O303" s="384">
        <v>0</v>
      </c>
      <c r="P303" s="384"/>
      <c r="Q303" s="384"/>
      <c r="R303" s="384"/>
      <c r="S303" s="384"/>
      <c r="T303" s="384">
        <v>0</v>
      </c>
      <c r="U303" s="384"/>
      <c r="V303" s="384"/>
      <c r="W303" s="384"/>
      <c r="X303" s="384"/>
      <c r="Y303" s="384">
        <v>0</v>
      </c>
      <c r="Z303" s="384"/>
      <c r="AA303" s="384"/>
      <c r="AB303" s="384"/>
      <c r="AC303" s="384"/>
      <c r="AD303" s="384">
        <v>0</v>
      </c>
      <c r="AE303" s="384">
        <v>0</v>
      </c>
      <c r="AF303" s="384">
        <v>0</v>
      </c>
      <c r="AG303" s="384">
        <v>0</v>
      </c>
      <c r="AH303" s="384">
        <v>0</v>
      </c>
      <c r="AI303" s="384">
        <v>0</v>
      </c>
      <c r="AJ303" s="384">
        <v>0</v>
      </c>
      <c r="AK303" s="384">
        <v>0</v>
      </c>
      <c r="AL303" s="384">
        <v>0</v>
      </c>
      <c r="AM303" s="384">
        <v>0</v>
      </c>
      <c r="AN303" s="384">
        <v>0</v>
      </c>
      <c r="AO303" s="384">
        <v>0</v>
      </c>
      <c r="AP303" s="384">
        <v>0</v>
      </c>
      <c r="AQ303" s="384">
        <v>0</v>
      </c>
      <c r="AR303" s="384">
        <v>0</v>
      </c>
      <c r="AS303" s="384">
        <f>AW303</f>
        <v>226376.95</v>
      </c>
      <c r="AT303" s="384">
        <v>0</v>
      </c>
      <c r="AU303" s="384">
        <v>0</v>
      </c>
      <c r="AV303" s="384">
        <v>0</v>
      </c>
      <c r="AW303" s="384">
        <v>226376.95</v>
      </c>
      <c r="AX303" s="384">
        <f>SUM(AY303:BB303)</f>
        <v>0</v>
      </c>
      <c r="AY303" s="384">
        <v>0</v>
      </c>
      <c r="AZ303" s="384">
        <v>0</v>
      </c>
      <c r="BA303" s="384">
        <v>0</v>
      </c>
      <c r="BB303" s="384">
        <v>0</v>
      </c>
      <c r="BC303" s="384">
        <v>0</v>
      </c>
      <c r="BD303" s="384" t="s">
        <v>328</v>
      </c>
      <c r="BE303" s="384" t="s">
        <v>328</v>
      </c>
      <c r="BF303" s="384" t="s">
        <v>328</v>
      </c>
      <c r="BG303" s="384">
        <f>BH303+BI303+BJ303+BK303</f>
        <v>0</v>
      </c>
      <c r="BH303" s="384">
        <v>0</v>
      </c>
      <c r="BI303" s="384">
        <v>0</v>
      </c>
      <c r="BJ303" s="384">
        <v>0</v>
      </c>
      <c r="BK303" s="384">
        <v>0</v>
      </c>
      <c r="BL303" s="384">
        <f>BM303+BN303+BO303+BP303</f>
        <v>0</v>
      </c>
      <c r="BM303" s="384">
        <f t="shared" si="319"/>
        <v>0</v>
      </c>
      <c r="BN303" s="384">
        <f t="shared" si="319"/>
        <v>0</v>
      </c>
      <c r="BO303" s="384">
        <f t="shared" si="319"/>
        <v>0</v>
      </c>
      <c r="BP303" s="384">
        <f t="shared" si="319"/>
        <v>0</v>
      </c>
      <c r="BQ303" s="384">
        <f>SUM(BR303:BU303)</f>
        <v>0</v>
      </c>
      <c r="BR303" s="384">
        <v>0</v>
      </c>
      <c r="BS303" s="384">
        <v>0</v>
      </c>
      <c r="BT303" s="384">
        <v>0</v>
      </c>
      <c r="BU303" s="384">
        <v>0</v>
      </c>
      <c r="BV303" s="384">
        <f>BC303-BQ303</f>
        <v>0</v>
      </c>
    </row>
    <row r="304" spans="1:74" ht="19.149999999999999" customHeight="1" x14ac:dyDescent="0.25">
      <c r="A304" s="408" t="s">
        <v>332</v>
      </c>
      <c r="B304" s="409"/>
      <c r="C304" s="374"/>
      <c r="D304" s="405" t="s">
        <v>328</v>
      </c>
      <c r="E304" s="384">
        <f>E285+E289+E295+E299+E302+E303</f>
        <v>370429844.85000002</v>
      </c>
      <c r="F304" s="384">
        <f t="shared" ref="F304:BC304" si="321">F285+F289+F295+F299+F302+F303</f>
        <v>148590380.93000001</v>
      </c>
      <c r="G304" s="384">
        <f t="shared" si="321"/>
        <v>64074613.349999994</v>
      </c>
      <c r="H304" s="384">
        <f t="shared" si="321"/>
        <v>29884522.02</v>
      </c>
      <c r="I304" s="384">
        <f t="shared" si="321"/>
        <v>127880328.55000003</v>
      </c>
      <c r="J304" s="384">
        <f t="shared" si="321"/>
        <v>0</v>
      </c>
      <c r="K304" s="384">
        <f t="shared" si="321"/>
        <v>0</v>
      </c>
      <c r="L304" s="384">
        <f t="shared" si="321"/>
        <v>0</v>
      </c>
      <c r="M304" s="384">
        <f t="shared" si="321"/>
        <v>0</v>
      </c>
      <c r="N304" s="384">
        <f t="shared" si="321"/>
        <v>0</v>
      </c>
      <c r="O304" s="384">
        <f t="shared" si="321"/>
        <v>297891</v>
      </c>
      <c r="P304" s="384">
        <f t="shared" si="321"/>
        <v>0</v>
      </c>
      <c r="Q304" s="384">
        <f t="shared" si="321"/>
        <v>0</v>
      </c>
      <c r="R304" s="384">
        <f t="shared" si="321"/>
        <v>0</v>
      </c>
      <c r="S304" s="384">
        <f t="shared" si="321"/>
        <v>297891</v>
      </c>
      <c r="T304" s="384">
        <f t="shared" si="321"/>
        <v>1399267.79</v>
      </c>
      <c r="U304" s="384">
        <f t="shared" si="321"/>
        <v>0</v>
      </c>
      <c r="V304" s="384">
        <f t="shared" si="321"/>
        <v>0</v>
      </c>
      <c r="W304" s="384">
        <f t="shared" si="321"/>
        <v>0</v>
      </c>
      <c r="X304" s="384">
        <f t="shared" si="321"/>
        <v>1399267.79</v>
      </c>
      <c r="Y304" s="384">
        <f t="shared" si="321"/>
        <v>0</v>
      </c>
      <c r="Z304" s="384">
        <f t="shared" si="321"/>
        <v>0</v>
      </c>
      <c r="AA304" s="384">
        <f t="shared" si="321"/>
        <v>0</v>
      </c>
      <c r="AB304" s="384">
        <f t="shared" si="321"/>
        <v>0</v>
      </c>
      <c r="AC304" s="384">
        <f t="shared" si="321"/>
        <v>0</v>
      </c>
      <c r="AD304" s="384">
        <f t="shared" si="321"/>
        <v>242193914.34</v>
      </c>
      <c r="AE304" s="384">
        <f t="shared" si="321"/>
        <v>112821912.19</v>
      </c>
      <c r="AF304" s="384">
        <f t="shared" si="321"/>
        <v>48569986.879999995</v>
      </c>
      <c r="AG304" s="384">
        <f t="shared" si="321"/>
        <v>22554097.23</v>
      </c>
      <c r="AH304" s="384">
        <f t="shared" si="321"/>
        <v>58247918.040000007</v>
      </c>
      <c r="AI304" s="384">
        <f t="shared" si="321"/>
        <v>41479068.490000002</v>
      </c>
      <c r="AJ304" s="384">
        <f t="shared" si="321"/>
        <v>18391058.389999997</v>
      </c>
      <c r="AK304" s="384">
        <f t="shared" si="321"/>
        <v>8006416.4899999993</v>
      </c>
      <c r="AL304" s="384">
        <f t="shared" si="321"/>
        <v>3711920.12</v>
      </c>
      <c r="AM304" s="384">
        <f t="shared" si="321"/>
        <v>11369673.49</v>
      </c>
      <c r="AN304" s="384">
        <f t="shared" si="321"/>
        <v>49850098.790000007</v>
      </c>
      <c r="AO304" s="384">
        <f t="shared" si="321"/>
        <v>17361091.120000001</v>
      </c>
      <c r="AP304" s="384">
        <f t="shared" si="321"/>
        <v>7499393.7399999993</v>
      </c>
      <c r="AQ304" s="384">
        <f t="shared" si="321"/>
        <v>3618504.6599999992</v>
      </c>
      <c r="AR304" s="384">
        <f t="shared" si="321"/>
        <v>21371109.270000003</v>
      </c>
      <c r="AS304" s="384">
        <f t="shared" si="321"/>
        <v>18531002.940000001</v>
      </c>
      <c r="AT304" s="384">
        <f t="shared" si="321"/>
        <v>0</v>
      </c>
      <c r="AU304" s="384">
        <f t="shared" si="321"/>
        <v>0</v>
      </c>
      <c r="AV304" s="384">
        <f t="shared" si="321"/>
        <v>0</v>
      </c>
      <c r="AW304" s="384">
        <f t="shared" si="321"/>
        <v>18531002.940000001</v>
      </c>
      <c r="AX304" s="384">
        <f t="shared" si="321"/>
        <v>4378600</v>
      </c>
      <c r="AY304" s="384">
        <f t="shared" si="321"/>
        <v>0</v>
      </c>
      <c r="AZ304" s="384">
        <f t="shared" si="321"/>
        <v>0</v>
      </c>
      <c r="BA304" s="384">
        <f t="shared" si="321"/>
        <v>0</v>
      </c>
      <c r="BB304" s="384">
        <f t="shared" si="321"/>
        <v>4378600</v>
      </c>
      <c r="BC304" s="384">
        <f t="shared" si="321"/>
        <v>12300001.499999993</v>
      </c>
      <c r="BD304" s="384">
        <f>BD285+BD289+BD295+BD299+BD302</f>
        <v>7557.15</v>
      </c>
      <c r="BE304" s="384">
        <f>BE285+BE289+BE295+BE299</f>
        <v>2670.9399999999996</v>
      </c>
      <c r="BF304" s="384">
        <f>BF285+BF289+BF295+BF299</f>
        <v>2670.9399999999996</v>
      </c>
      <c r="BG304" s="384">
        <f>BG285+BG289+BG295+BG299+BG302+BG303</f>
        <v>0</v>
      </c>
      <c r="BH304" s="384">
        <f t="shared" ref="BH304:BV304" si="322">BH285+BH289+BH295+BH299+BH302+BH303</f>
        <v>0</v>
      </c>
      <c r="BI304" s="384">
        <f t="shared" si="322"/>
        <v>0</v>
      </c>
      <c r="BJ304" s="384">
        <f t="shared" si="322"/>
        <v>0</v>
      </c>
      <c r="BK304" s="384">
        <f t="shared" si="322"/>
        <v>0</v>
      </c>
      <c r="BL304" s="384">
        <f t="shared" si="322"/>
        <v>12300001.500000011</v>
      </c>
      <c r="BM304" s="384">
        <f t="shared" si="322"/>
        <v>16319.23000001139</v>
      </c>
      <c r="BN304" s="384">
        <f t="shared" si="322"/>
        <v>-1183.7599999991944</v>
      </c>
      <c r="BO304" s="384">
        <f t="shared" si="322"/>
        <v>9.9999990197829902E-3</v>
      </c>
      <c r="BP304" s="384">
        <f t="shared" si="322"/>
        <v>12284866.02</v>
      </c>
      <c r="BQ304" s="384">
        <f t="shared" si="322"/>
        <v>0</v>
      </c>
      <c r="BR304" s="384">
        <f t="shared" si="322"/>
        <v>0</v>
      </c>
      <c r="BS304" s="384">
        <f t="shared" si="322"/>
        <v>0</v>
      </c>
      <c r="BT304" s="384">
        <f t="shared" si="322"/>
        <v>0</v>
      </c>
      <c r="BU304" s="384">
        <f t="shared" si="322"/>
        <v>0</v>
      </c>
      <c r="BV304" s="384">
        <f t="shared" si="322"/>
        <v>12300001.499999993</v>
      </c>
    </row>
    <row r="305" spans="1:74" ht="19.149999999999999" customHeight="1" x14ac:dyDescent="0.25">
      <c r="A305" s="408" t="s">
        <v>286</v>
      </c>
      <c r="B305" s="409"/>
      <c r="C305" s="374">
        <v>310</v>
      </c>
      <c r="D305" s="405" t="s">
        <v>328</v>
      </c>
      <c r="E305" s="384">
        <f t="shared" ref="E305:BC305" si="323">E299</f>
        <v>119156554.82000001</v>
      </c>
      <c r="F305" s="384">
        <f t="shared" si="323"/>
        <v>50560381.719999999</v>
      </c>
      <c r="G305" s="384">
        <f t="shared" si="323"/>
        <v>21766313.169999998</v>
      </c>
      <c r="H305" s="384">
        <f t="shared" si="323"/>
        <v>10107467.100000001</v>
      </c>
      <c r="I305" s="384">
        <f t="shared" si="323"/>
        <v>36722392.830000006</v>
      </c>
      <c r="J305" s="384">
        <f t="shared" si="323"/>
        <v>0</v>
      </c>
      <c r="K305" s="384">
        <f t="shared" si="323"/>
        <v>0</v>
      </c>
      <c r="L305" s="384">
        <f t="shared" si="323"/>
        <v>0</v>
      </c>
      <c r="M305" s="384">
        <f t="shared" si="323"/>
        <v>0</v>
      </c>
      <c r="N305" s="384">
        <f t="shared" si="323"/>
        <v>0</v>
      </c>
      <c r="O305" s="384">
        <f t="shared" si="323"/>
        <v>0</v>
      </c>
      <c r="P305" s="384">
        <f t="shared" si="323"/>
        <v>0</v>
      </c>
      <c r="Q305" s="384">
        <f t="shared" si="323"/>
        <v>0</v>
      </c>
      <c r="R305" s="384">
        <f t="shared" si="323"/>
        <v>0</v>
      </c>
      <c r="S305" s="384">
        <f t="shared" si="323"/>
        <v>0</v>
      </c>
      <c r="T305" s="384">
        <f t="shared" si="323"/>
        <v>0</v>
      </c>
      <c r="U305" s="384">
        <f t="shared" si="323"/>
        <v>0</v>
      </c>
      <c r="V305" s="384">
        <f t="shared" si="323"/>
        <v>0</v>
      </c>
      <c r="W305" s="384">
        <f t="shared" si="323"/>
        <v>0</v>
      </c>
      <c r="X305" s="384">
        <f t="shared" si="323"/>
        <v>0</v>
      </c>
      <c r="Y305" s="384">
        <f t="shared" si="323"/>
        <v>0</v>
      </c>
      <c r="Z305" s="384">
        <f t="shared" si="323"/>
        <v>0</v>
      </c>
      <c r="AA305" s="384">
        <f t="shared" si="323"/>
        <v>0</v>
      </c>
      <c r="AB305" s="384">
        <f t="shared" si="323"/>
        <v>0</v>
      </c>
      <c r="AC305" s="384">
        <f t="shared" si="323"/>
        <v>0</v>
      </c>
      <c r="AD305" s="384">
        <f t="shared" si="323"/>
        <v>114772942.32000001</v>
      </c>
      <c r="AE305" s="384">
        <f t="shared" si="323"/>
        <v>48848480.329999998</v>
      </c>
      <c r="AF305" s="384">
        <f t="shared" si="323"/>
        <v>21029337.289999999</v>
      </c>
      <c r="AG305" s="384">
        <f t="shared" si="323"/>
        <v>9765242.8900000006</v>
      </c>
      <c r="AH305" s="384">
        <f t="shared" si="323"/>
        <v>35129881.810000002</v>
      </c>
      <c r="AI305" s="384">
        <f t="shared" si="323"/>
        <v>4383612.5</v>
      </c>
      <c r="AJ305" s="384">
        <f t="shared" si="323"/>
        <v>1695582.16</v>
      </c>
      <c r="AK305" s="384">
        <f t="shared" si="323"/>
        <v>738159.64</v>
      </c>
      <c r="AL305" s="384">
        <f t="shared" si="323"/>
        <v>342224.2</v>
      </c>
      <c r="AM305" s="384">
        <f t="shared" si="323"/>
        <v>1607646.5</v>
      </c>
      <c r="AN305" s="384">
        <f t="shared" si="323"/>
        <v>0</v>
      </c>
      <c r="AO305" s="384">
        <f t="shared" si="323"/>
        <v>0</v>
      </c>
      <c r="AP305" s="384">
        <f t="shared" si="323"/>
        <v>0</v>
      </c>
      <c r="AQ305" s="384">
        <f t="shared" si="323"/>
        <v>0</v>
      </c>
      <c r="AR305" s="384">
        <f t="shared" si="323"/>
        <v>0</v>
      </c>
      <c r="AS305" s="384">
        <f t="shared" si="323"/>
        <v>0</v>
      </c>
      <c r="AT305" s="384">
        <f t="shared" si="323"/>
        <v>0</v>
      </c>
      <c r="AU305" s="384">
        <f t="shared" si="323"/>
        <v>0</v>
      </c>
      <c r="AV305" s="384">
        <f t="shared" si="323"/>
        <v>0</v>
      </c>
      <c r="AW305" s="384">
        <f t="shared" si="323"/>
        <v>0</v>
      </c>
      <c r="AX305" s="384">
        <f t="shared" si="323"/>
        <v>0</v>
      </c>
      <c r="AY305" s="384">
        <f t="shared" si="323"/>
        <v>0</v>
      </c>
      <c r="AZ305" s="384">
        <f t="shared" si="323"/>
        <v>0</v>
      </c>
      <c r="BA305" s="384">
        <f t="shared" si="323"/>
        <v>0</v>
      </c>
      <c r="BB305" s="384">
        <f t="shared" si="323"/>
        <v>0</v>
      </c>
      <c r="BC305" s="384">
        <f t="shared" si="323"/>
        <v>0</v>
      </c>
      <c r="BD305" s="384">
        <f>BD299</f>
        <v>2241.25</v>
      </c>
      <c r="BE305" s="384">
        <f>BE299</f>
        <v>2670.9399999999996</v>
      </c>
      <c r="BF305" s="384">
        <f>BF299</f>
        <v>2670.9399999999996</v>
      </c>
      <c r="BG305" s="384">
        <f t="shared" ref="BG305:BV305" si="324">BG299</f>
        <v>0</v>
      </c>
      <c r="BH305" s="384">
        <f t="shared" si="324"/>
        <v>0</v>
      </c>
      <c r="BI305" s="384">
        <f t="shared" si="324"/>
        <v>0</v>
      </c>
      <c r="BJ305" s="384">
        <f t="shared" si="324"/>
        <v>0</v>
      </c>
      <c r="BK305" s="384">
        <f t="shared" si="324"/>
        <v>0</v>
      </c>
      <c r="BL305" s="384">
        <f t="shared" si="324"/>
        <v>5.8207660913467407E-11</v>
      </c>
      <c r="BM305" s="384">
        <f t="shared" si="324"/>
        <v>16319.230000000214</v>
      </c>
      <c r="BN305" s="384">
        <f t="shared" si="324"/>
        <v>-1183.7600000001257</v>
      </c>
      <c r="BO305" s="384">
        <f t="shared" si="324"/>
        <v>9.9999999511055648E-3</v>
      </c>
      <c r="BP305" s="384">
        <f t="shared" si="324"/>
        <v>-15135.479999999981</v>
      </c>
      <c r="BQ305" s="384">
        <f t="shared" si="324"/>
        <v>0</v>
      </c>
      <c r="BR305" s="384">
        <f t="shared" si="324"/>
        <v>0</v>
      </c>
      <c r="BS305" s="384">
        <f t="shared" si="324"/>
        <v>0</v>
      </c>
      <c r="BT305" s="384">
        <f t="shared" si="324"/>
        <v>0</v>
      </c>
      <c r="BU305" s="384">
        <f t="shared" si="324"/>
        <v>0</v>
      </c>
      <c r="BV305" s="384">
        <f t="shared" si="324"/>
        <v>0</v>
      </c>
    </row>
    <row r="306" spans="1:74" ht="19.149999999999999" customHeight="1" x14ac:dyDescent="0.25">
      <c r="A306" s="408" t="s">
        <v>286</v>
      </c>
      <c r="B306" s="409"/>
      <c r="C306" s="374">
        <v>226</v>
      </c>
      <c r="D306" s="405" t="s">
        <v>328</v>
      </c>
      <c r="E306" s="384">
        <f t="shared" ref="E306:BC306" si="325">E285+E289+E295</f>
        <v>3731810.81</v>
      </c>
      <c r="F306" s="384">
        <f t="shared" si="325"/>
        <v>0</v>
      </c>
      <c r="G306" s="384">
        <f t="shared" si="325"/>
        <v>0</v>
      </c>
      <c r="H306" s="384">
        <f t="shared" si="325"/>
        <v>0</v>
      </c>
      <c r="I306" s="384">
        <f t="shared" si="325"/>
        <v>3731810.81</v>
      </c>
      <c r="J306" s="384">
        <f t="shared" si="325"/>
        <v>0</v>
      </c>
      <c r="K306" s="384">
        <f t="shared" si="325"/>
        <v>0</v>
      </c>
      <c r="L306" s="384">
        <f t="shared" si="325"/>
        <v>0</v>
      </c>
      <c r="M306" s="384">
        <f t="shared" si="325"/>
        <v>0</v>
      </c>
      <c r="N306" s="384">
        <f t="shared" si="325"/>
        <v>0</v>
      </c>
      <c r="O306" s="384">
        <f t="shared" si="325"/>
        <v>297891</v>
      </c>
      <c r="P306" s="384">
        <f t="shared" si="325"/>
        <v>0</v>
      </c>
      <c r="Q306" s="384">
        <f t="shared" si="325"/>
        <v>0</v>
      </c>
      <c r="R306" s="384">
        <f t="shared" si="325"/>
        <v>0</v>
      </c>
      <c r="S306" s="384">
        <f t="shared" si="325"/>
        <v>297891</v>
      </c>
      <c r="T306" s="384">
        <f t="shared" si="325"/>
        <v>1399267.79</v>
      </c>
      <c r="U306" s="384">
        <f t="shared" si="325"/>
        <v>0</v>
      </c>
      <c r="V306" s="384">
        <f t="shared" si="325"/>
        <v>0</v>
      </c>
      <c r="W306" s="384">
        <f t="shared" si="325"/>
        <v>0</v>
      </c>
      <c r="X306" s="384">
        <f t="shared" si="325"/>
        <v>1399267.79</v>
      </c>
      <c r="Y306" s="384">
        <f t="shared" si="325"/>
        <v>0</v>
      </c>
      <c r="Z306" s="384">
        <f t="shared" si="325"/>
        <v>0</v>
      </c>
      <c r="AA306" s="384">
        <f t="shared" si="325"/>
        <v>0</v>
      </c>
      <c r="AB306" s="384">
        <f t="shared" si="325"/>
        <v>0</v>
      </c>
      <c r="AC306" s="384">
        <f t="shared" si="325"/>
        <v>0</v>
      </c>
      <c r="AD306" s="384">
        <f t="shared" si="325"/>
        <v>2034652.02</v>
      </c>
      <c r="AE306" s="384">
        <f t="shared" si="325"/>
        <v>0</v>
      </c>
      <c r="AF306" s="384">
        <f t="shared" si="325"/>
        <v>0</v>
      </c>
      <c r="AG306" s="384">
        <f t="shared" si="325"/>
        <v>0</v>
      </c>
      <c r="AH306" s="384">
        <f t="shared" si="325"/>
        <v>2034652.02</v>
      </c>
      <c r="AI306" s="384">
        <f t="shared" si="325"/>
        <v>0</v>
      </c>
      <c r="AJ306" s="384">
        <f t="shared" si="325"/>
        <v>0</v>
      </c>
      <c r="AK306" s="384">
        <f t="shared" si="325"/>
        <v>0</v>
      </c>
      <c r="AL306" s="384">
        <f t="shared" si="325"/>
        <v>0</v>
      </c>
      <c r="AM306" s="384">
        <f t="shared" si="325"/>
        <v>0</v>
      </c>
      <c r="AN306" s="384">
        <f t="shared" si="325"/>
        <v>0</v>
      </c>
      <c r="AO306" s="384">
        <f t="shared" si="325"/>
        <v>0</v>
      </c>
      <c r="AP306" s="384">
        <f t="shared" si="325"/>
        <v>0</v>
      </c>
      <c r="AQ306" s="384">
        <f t="shared" si="325"/>
        <v>0</v>
      </c>
      <c r="AR306" s="384">
        <f t="shared" si="325"/>
        <v>0</v>
      </c>
      <c r="AS306" s="384">
        <f t="shared" si="325"/>
        <v>0</v>
      </c>
      <c r="AT306" s="384">
        <f t="shared" si="325"/>
        <v>0</v>
      </c>
      <c r="AU306" s="384">
        <f t="shared" si="325"/>
        <v>0</v>
      </c>
      <c r="AV306" s="384">
        <f t="shared" si="325"/>
        <v>0</v>
      </c>
      <c r="AW306" s="384">
        <f t="shared" si="325"/>
        <v>0</v>
      </c>
      <c r="AX306" s="384">
        <f t="shared" si="325"/>
        <v>0</v>
      </c>
      <c r="AY306" s="384">
        <f t="shared" si="325"/>
        <v>0</v>
      </c>
      <c r="AZ306" s="384">
        <f t="shared" si="325"/>
        <v>0</v>
      </c>
      <c r="BA306" s="384">
        <f t="shared" si="325"/>
        <v>0</v>
      </c>
      <c r="BB306" s="384">
        <f t="shared" si="325"/>
        <v>0</v>
      </c>
      <c r="BC306" s="384">
        <f t="shared" si="325"/>
        <v>0</v>
      </c>
      <c r="BD306" s="384" t="s">
        <v>328</v>
      </c>
      <c r="BE306" s="384" t="s">
        <v>328</v>
      </c>
      <c r="BF306" s="384" t="s">
        <v>328</v>
      </c>
      <c r="BG306" s="384">
        <f t="shared" ref="BG306:BV306" si="326">BG285+BG289+BG295</f>
        <v>0</v>
      </c>
      <c r="BH306" s="384">
        <f t="shared" si="326"/>
        <v>0</v>
      </c>
      <c r="BI306" s="384">
        <f t="shared" si="326"/>
        <v>0</v>
      </c>
      <c r="BJ306" s="384">
        <f t="shared" si="326"/>
        <v>0</v>
      </c>
      <c r="BK306" s="384">
        <f t="shared" si="326"/>
        <v>0</v>
      </c>
      <c r="BL306" s="384">
        <f t="shared" si="326"/>
        <v>0</v>
      </c>
      <c r="BM306" s="384">
        <f t="shared" si="326"/>
        <v>0</v>
      </c>
      <c r="BN306" s="384">
        <f t="shared" si="326"/>
        <v>0</v>
      </c>
      <c r="BO306" s="384">
        <f t="shared" si="326"/>
        <v>0</v>
      </c>
      <c r="BP306" s="384">
        <f t="shared" si="326"/>
        <v>0</v>
      </c>
      <c r="BQ306" s="384">
        <f t="shared" si="326"/>
        <v>0</v>
      </c>
      <c r="BR306" s="384">
        <f t="shared" si="326"/>
        <v>0</v>
      </c>
      <c r="BS306" s="384">
        <f t="shared" si="326"/>
        <v>0</v>
      </c>
      <c r="BT306" s="384">
        <f t="shared" si="326"/>
        <v>0</v>
      </c>
      <c r="BU306" s="384">
        <f t="shared" si="326"/>
        <v>0</v>
      </c>
      <c r="BV306" s="384">
        <f t="shared" si="326"/>
        <v>0</v>
      </c>
    </row>
    <row r="307" spans="1:74" ht="19.149999999999999" customHeight="1" x14ac:dyDescent="0.25">
      <c r="A307" s="433"/>
      <c r="B307" s="434" t="s">
        <v>286</v>
      </c>
      <c r="C307" s="374">
        <v>310</v>
      </c>
      <c r="D307" s="405" t="s">
        <v>328</v>
      </c>
      <c r="E307" s="384">
        <f>E302</f>
        <v>247315102.27000001</v>
      </c>
      <c r="F307" s="384">
        <f t="shared" ref="F307:BD308" si="327">F302</f>
        <v>98029999.210000008</v>
      </c>
      <c r="G307" s="384">
        <f t="shared" si="327"/>
        <v>42308300.18</v>
      </c>
      <c r="H307" s="384">
        <f t="shared" si="327"/>
        <v>19777054.919999998</v>
      </c>
      <c r="I307" s="384">
        <f t="shared" si="327"/>
        <v>87199747.960000008</v>
      </c>
      <c r="J307" s="384">
        <f t="shared" si="327"/>
        <v>0</v>
      </c>
      <c r="K307" s="384">
        <f t="shared" si="327"/>
        <v>0</v>
      </c>
      <c r="L307" s="384">
        <f t="shared" si="327"/>
        <v>0</v>
      </c>
      <c r="M307" s="384">
        <f t="shared" si="327"/>
        <v>0</v>
      </c>
      <c r="N307" s="384">
        <f t="shared" si="327"/>
        <v>0</v>
      </c>
      <c r="O307" s="384">
        <f t="shared" si="327"/>
        <v>0</v>
      </c>
      <c r="P307" s="384">
        <f t="shared" si="327"/>
        <v>0</v>
      </c>
      <c r="Q307" s="384">
        <f t="shared" si="327"/>
        <v>0</v>
      </c>
      <c r="R307" s="384">
        <f t="shared" si="327"/>
        <v>0</v>
      </c>
      <c r="S307" s="384">
        <f t="shared" si="327"/>
        <v>0</v>
      </c>
      <c r="T307" s="384">
        <f t="shared" si="327"/>
        <v>0</v>
      </c>
      <c r="U307" s="384">
        <f t="shared" si="327"/>
        <v>0</v>
      </c>
      <c r="V307" s="384">
        <f t="shared" si="327"/>
        <v>0</v>
      </c>
      <c r="W307" s="384">
        <f t="shared" si="327"/>
        <v>0</v>
      </c>
      <c r="X307" s="384">
        <f t="shared" si="327"/>
        <v>0</v>
      </c>
      <c r="Y307" s="384">
        <f t="shared" si="327"/>
        <v>0</v>
      </c>
      <c r="Z307" s="384">
        <f t="shared" si="327"/>
        <v>0</v>
      </c>
      <c r="AA307" s="384">
        <f t="shared" si="327"/>
        <v>0</v>
      </c>
      <c r="AB307" s="384">
        <f t="shared" si="327"/>
        <v>0</v>
      </c>
      <c r="AC307" s="384">
        <f t="shared" si="327"/>
        <v>0</v>
      </c>
      <c r="AD307" s="384">
        <f t="shared" si="327"/>
        <v>125386320</v>
      </c>
      <c r="AE307" s="384">
        <f t="shared" si="327"/>
        <v>63973431.859999999</v>
      </c>
      <c r="AF307" s="384">
        <f t="shared" si="327"/>
        <v>27540649.59</v>
      </c>
      <c r="AG307" s="384">
        <f t="shared" si="327"/>
        <v>12788854.34</v>
      </c>
      <c r="AH307" s="384">
        <f t="shared" si="327"/>
        <v>21083384.210000001</v>
      </c>
      <c r="AI307" s="384">
        <f t="shared" si="327"/>
        <v>37095455.990000002</v>
      </c>
      <c r="AJ307" s="384">
        <f t="shared" si="327"/>
        <v>16695476.229999999</v>
      </c>
      <c r="AK307" s="384">
        <f t="shared" si="327"/>
        <v>7268256.8499999996</v>
      </c>
      <c r="AL307" s="384">
        <f t="shared" si="327"/>
        <v>3369695.92</v>
      </c>
      <c r="AM307" s="384">
        <f t="shared" si="327"/>
        <v>9762026.9900000002</v>
      </c>
      <c r="AN307" s="384">
        <f t="shared" si="327"/>
        <v>49850098.790000007</v>
      </c>
      <c r="AO307" s="384">
        <f t="shared" si="327"/>
        <v>17361091.120000001</v>
      </c>
      <c r="AP307" s="384">
        <f t="shared" si="327"/>
        <v>7499393.7399999993</v>
      </c>
      <c r="AQ307" s="384">
        <f t="shared" si="327"/>
        <v>3618504.6599999992</v>
      </c>
      <c r="AR307" s="384">
        <f t="shared" si="327"/>
        <v>21371109.270000003</v>
      </c>
      <c r="AS307" s="384">
        <f t="shared" si="327"/>
        <v>18304625.990000002</v>
      </c>
      <c r="AT307" s="384">
        <f t="shared" si="327"/>
        <v>0</v>
      </c>
      <c r="AU307" s="384">
        <f t="shared" si="327"/>
        <v>0</v>
      </c>
      <c r="AV307" s="384">
        <f t="shared" si="327"/>
        <v>0</v>
      </c>
      <c r="AW307" s="384">
        <f t="shared" si="327"/>
        <v>18304625.990000002</v>
      </c>
      <c r="AX307" s="384">
        <f t="shared" si="327"/>
        <v>4378600</v>
      </c>
      <c r="AY307" s="384">
        <f t="shared" si="327"/>
        <v>0</v>
      </c>
      <c r="AZ307" s="384">
        <f t="shared" si="327"/>
        <v>0</v>
      </c>
      <c r="BA307" s="384">
        <f t="shared" si="327"/>
        <v>0</v>
      </c>
      <c r="BB307" s="384">
        <f t="shared" si="327"/>
        <v>4378600</v>
      </c>
      <c r="BC307" s="384">
        <f t="shared" si="327"/>
        <v>12300001.499999993</v>
      </c>
      <c r="BD307" s="384">
        <f t="shared" si="327"/>
        <v>5315.9</v>
      </c>
      <c r="BE307" s="384" t="s">
        <v>328</v>
      </c>
      <c r="BF307" s="384" t="s">
        <v>328</v>
      </c>
      <c r="BG307" s="384">
        <f t="shared" ref="BG307:BV308" si="328">BG302</f>
        <v>0</v>
      </c>
      <c r="BH307" s="384">
        <f t="shared" si="328"/>
        <v>0</v>
      </c>
      <c r="BI307" s="384">
        <f t="shared" si="328"/>
        <v>0</v>
      </c>
      <c r="BJ307" s="384">
        <f t="shared" si="328"/>
        <v>0</v>
      </c>
      <c r="BK307" s="384">
        <f t="shared" si="328"/>
        <v>0</v>
      </c>
      <c r="BL307" s="384">
        <f t="shared" si="328"/>
        <v>12300001.500000011</v>
      </c>
      <c r="BM307" s="384">
        <f t="shared" si="328"/>
        <v>1.1175870895385742E-8</v>
      </c>
      <c r="BN307" s="384">
        <f t="shared" si="328"/>
        <v>9.3132257461547852E-10</v>
      </c>
      <c r="BO307" s="384">
        <f t="shared" si="328"/>
        <v>-9.3132257461547852E-10</v>
      </c>
      <c r="BP307" s="384">
        <f t="shared" si="328"/>
        <v>12300001.5</v>
      </c>
      <c r="BQ307" s="384">
        <f t="shared" si="328"/>
        <v>0</v>
      </c>
      <c r="BR307" s="384">
        <f t="shared" si="328"/>
        <v>0</v>
      </c>
      <c r="BS307" s="384">
        <f t="shared" si="328"/>
        <v>0</v>
      </c>
      <c r="BT307" s="384">
        <f t="shared" si="328"/>
        <v>0</v>
      </c>
      <c r="BU307" s="384">
        <f t="shared" si="328"/>
        <v>0</v>
      </c>
      <c r="BV307" s="384">
        <f t="shared" si="328"/>
        <v>12300001.499999993</v>
      </c>
    </row>
    <row r="308" spans="1:74" ht="19.149999999999999" customHeight="1" x14ac:dyDescent="0.25">
      <c r="A308" s="433"/>
      <c r="B308" s="434" t="s">
        <v>286</v>
      </c>
      <c r="C308" s="374">
        <v>296</v>
      </c>
      <c r="D308" s="405" t="s">
        <v>328</v>
      </c>
      <c r="E308" s="384">
        <f>E303</f>
        <v>226376.95</v>
      </c>
      <c r="F308" s="384">
        <f t="shared" si="327"/>
        <v>0</v>
      </c>
      <c r="G308" s="384">
        <f t="shared" si="327"/>
        <v>0</v>
      </c>
      <c r="H308" s="384">
        <f t="shared" si="327"/>
        <v>0</v>
      </c>
      <c r="I308" s="384">
        <f t="shared" si="327"/>
        <v>226376.95</v>
      </c>
      <c r="J308" s="384">
        <f t="shared" si="327"/>
        <v>0</v>
      </c>
      <c r="K308" s="384">
        <f t="shared" si="327"/>
        <v>0</v>
      </c>
      <c r="L308" s="384">
        <f t="shared" si="327"/>
        <v>0</v>
      </c>
      <c r="M308" s="384">
        <f t="shared" si="327"/>
        <v>0</v>
      </c>
      <c r="N308" s="384">
        <f t="shared" si="327"/>
        <v>0</v>
      </c>
      <c r="O308" s="384">
        <f t="shared" si="327"/>
        <v>0</v>
      </c>
      <c r="P308" s="384">
        <f t="shared" si="327"/>
        <v>0</v>
      </c>
      <c r="Q308" s="384">
        <f t="shared" si="327"/>
        <v>0</v>
      </c>
      <c r="R308" s="384">
        <f t="shared" si="327"/>
        <v>0</v>
      </c>
      <c r="S308" s="384">
        <f t="shared" si="327"/>
        <v>0</v>
      </c>
      <c r="T308" s="384">
        <f t="shared" si="327"/>
        <v>0</v>
      </c>
      <c r="U308" s="384">
        <f t="shared" si="327"/>
        <v>0</v>
      </c>
      <c r="V308" s="384">
        <f t="shared" si="327"/>
        <v>0</v>
      </c>
      <c r="W308" s="384">
        <f t="shared" si="327"/>
        <v>0</v>
      </c>
      <c r="X308" s="384">
        <f t="shared" si="327"/>
        <v>0</v>
      </c>
      <c r="Y308" s="384">
        <f t="shared" si="327"/>
        <v>0</v>
      </c>
      <c r="Z308" s="384">
        <f t="shared" si="327"/>
        <v>0</v>
      </c>
      <c r="AA308" s="384">
        <f t="shared" si="327"/>
        <v>0</v>
      </c>
      <c r="AB308" s="384">
        <f t="shared" si="327"/>
        <v>0</v>
      </c>
      <c r="AC308" s="384">
        <f t="shared" si="327"/>
        <v>0</v>
      </c>
      <c r="AD308" s="384">
        <f t="shared" si="327"/>
        <v>0</v>
      </c>
      <c r="AE308" s="384">
        <f t="shared" si="327"/>
        <v>0</v>
      </c>
      <c r="AF308" s="384">
        <f t="shared" si="327"/>
        <v>0</v>
      </c>
      <c r="AG308" s="384">
        <f t="shared" si="327"/>
        <v>0</v>
      </c>
      <c r="AH308" s="384">
        <f t="shared" si="327"/>
        <v>0</v>
      </c>
      <c r="AI308" s="384">
        <f t="shared" si="327"/>
        <v>0</v>
      </c>
      <c r="AJ308" s="384">
        <f t="shared" si="327"/>
        <v>0</v>
      </c>
      <c r="AK308" s="384">
        <f t="shared" si="327"/>
        <v>0</v>
      </c>
      <c r="AL308" s="384">
        <f t="shared" si="327"/>
        <v>0</v>
      </c>
      <c r="AM308" s="384">
        <f t="shared" si="327"/>
        <v>0</v>
      </c>
      <c r="AN308" s="384">
        <f t="shared" si="327"/>
        <v>0</v>
      </c>
      <c r="AO308" s="384">
        <f t="shared" si="327"/>
        <v>0</v>
      </c>
      <c r="AP308" s="384">
        <f t="shared" si="327"/>
        <v>0</v>
      </c>
      <c r="AQ308" s="384">
        <f t="shared" si="327"/>
        <v>0</v>
      </c>
      <c r="AR308" s="384">
        <f t="shared" si="327"/>
        <v>0</v>
      </c>
      <c r="AS308" s="384">
        <f t="shared" si="327"/>
        <v>226376.95</v>
      </c>
      <c r="AT308" s="384">
        <f t="shared" si="327"/>
        <v>0</v>
      </c>
      <c r="AU308" s="384">
        <f t="shared" si="327"/>
        <v>0</v>
      </c>
      <c r="AV308" s="384">
        <f t="shared" si="327"/>
        <v>0</v>
      </c>
      <c r="AW308" s="384">
        <f t="shared" si="327"/>
        <v>226376.95</v>
      </c>
      <c r="AX308" s="384">
        <f t="shared" si="327"/>
        <v>0</v>
      </c>
      <c r="AY308" s="384">
        <f t="shared" si="327"/>
        <v>0</v>
      </c>
      <c r="AZ308" s="384">
        <f t="shared" si="327"/>
        <v>0</v>
      </c>
      <c r="BA308" s="384">
        <f t="shared" si="327"/>
        <v>0</v>
      </c>
      <c r="BB308" s="384">
        <f t="shared" si="327"/>
        <v>0</v>
      </c>
      <c r="BC308" s="384">
        <f t="shared" si="327"/>
        <v>0</v>
      </c>
      <c r="BD308" s="384" t="str">
        <f t="shared" si="327"/>
        <v>Х</v>
      </c>
      <c r="BE308" s="384" t="s">
        <v>328</v>
      </c>
      <c r="BF308" s="384" t="s">
        <v>328</v>
      </c>
      <c r="BG308" s="384">
        <f t="shared" si="328"/>
        <v>0</v>
      </c>
      <c r="BH308" s="384">
        <f t="shared" si="328"/>
        <v>0</v>
      </c>
      <c r="BI308" s="384">
        <f t="shared" si="328"/>
        <v>0</v>
      </c>
      <c r="BJ308" s="384">
        <f t="shared" si="328"/>
        <v>0</v>
      </c>
      <c r="BK308" s="384">
        <f t="shared" si="328"/>
        <v>0</v>
      </c>
      <c r="BL308" s="384">
        <f t="shared" si="328"/>
        <v>0</v>
      </c>
      <c r="BM308" s="384">
        <f t="shared" si="328"/>
        <v>0</v>
      </c>
      <c r="BN308" s="384">
        <f t="shared" si="328"/>
        <v>0</v>
      </c>
      <c r="BO308" s="384">
        <f t="shared" si="328"/>
        <v>0</v>
      </c>
      <c r="BP308" s="384">
        <f t="shared" si="328"/>
        <v>0</v>
      </c>
      <c r="BQ308" s="384">
        <f t="shared" si="328"/>
        <v>0</v>
      </c>
      <c r="BR308" s="384">
        <f t="shared" si="328"/>
        <v>0</v>
      </c>
      <c r="BS308" s="384">
        <f t="shared" si="328"/>
        <v>0</v>
      </c>
      <c r="BT308" s="384">
        <f t="shared" si="328"/>
        <v>0</v>
      </c>
      <c r="BU308" s="384">
        <f t="shared" si="328"/>
        <v>0</v>
      </c>
      <c r="BV308" s="384">
        <f t="shared" si="328"/>
        <v>0</v>
      </c>
    </row>
    <row r="309" spans="1:74" ht="19.149999999999999" customHeight="1" x14ac:dyDescent="0.25">
      <c r="A309" s="408" t="s">
        <v>408</v>
      </c>
      <c r="B309" s="409"/>
      <c r="C309" s="374"/>
      <c r="D309" s="405" t="s">
        <v>328</v>
      </c>
      <c r="E309" s="384">
        <f>E310+E311+E312+E313+E314+E316+E317+E318+E319+E320+E322+E323+E324+E315+E325+E321</f>
        <v>1254777566.3900001</v>
      </c>
      <c r="F309" s="384">
        <f t="shared" ref="F309:BS309" si="329">F310+F311+F312+F313+F314+F316+F317+F318+F319+F320+F322+F323+F324+F315+F325+F321</f>
        <v>358631811.56000006</v>
      </c>
      <c r="G309" s="384">
        <f t="shared" si="329"/>
        <v>338068702.06</v>
      </c>
      <c r="H309" s="384">
        <f t="shared" si="329"/>
        <v>75693812.979999989</v>
      </c>
      <c r="I309" s="384">
        <f t="shared" si="329"/>
        <v>482383239.79000002</v>
      </c>
      <c r="J309" s="384">
        <f t="shared" si="329"/>
        <v>1656913.57</v>
      </c>
      <c r="K309" s="384">
        <f t="shared" si="329"/>
        <v>0</v>
      </c>
      <c r="L309" s="384">
        <f t="shared" si="329"/>
        <v>0</v>
      </c>
      <c r="M309" s="384">
        <f t="shared" si="329"/>
        <v>0</v>
      </c>
      <c r="N309" s="384">
        <f t="shared" si="329"/>
        <v>1656913.57</v>
      </c>
      <c r="O309" s="384">
        <f t="shared" si="329"/>
        <v>85457134.820000008</v>
      </c>
      <c r="P309" s="384">
        <f t="shared" si="329"/>
        <v>14444674.33</v>
      </c>
      <c r="Q309" s="384">
        <f t="shared" si="329"/>
        <v>34925369.359999999</v>
      </c>
      <c r="R309" s="384">
        <f t="shared" si="329"/>
        <v>4188259.3000000003</v>
      </c>
      <c r="S309" s="384">
        <f t="shared" si="329"/>
        <v>31898831.830000006</v>
      </c>
      <c r="T309" s="384">
        <f t="shared" si="329"/>
        <v>430483121.21999997</v>
      </c>
      <c r="U309" s="384">
        <f t="shared" si="329"/>
        <v>116376184.63000001</v>
      </c>
      <c r="V309" s="384">
        <f t="shared" si="329"/>
        <v>191137911.41999996</v>
      </c>
      <c r="W309" s="384">
        <f t="shared" si="329"/>
        <v>29922228.199999999</v>
      </c>
      <c r="X309" s="384">
        <f t="shared" si="329"/>
        <v>93046796.969999999</v>
      </c>
      <c r="Y309" s="384">
        <f t="shared" si="329"/>
        <v>260951816.24000001</v>
      </c>
      <c r="Z309" s="384">
        <f t="shared" si="329"/>
        <v>78802031.609999999</v>
      </c>
      <c r="AA309" s="384">
        <f t="shared" si="329"/>
        <v>45814293.5</v>
      </c>
      <c r="AB309" s="384">
        <f t="shared" si="329"/>
        <v>11024691.65</v>
      </c>
      <c r="AC309" s="384">
        <f t="shared" si="329"/>
        <v>125310799.48000002</v>
      </c>
      <c r="AD309" s="384">
        <f t="shared" si="329"/>
        <v>284330361.88999999</v>
      </c>
      <c r="AE309" s="384">
        <f t="shared" si="329"/>
        <v>112106236.97</v>
      </c>
      <c r="AF309" s="384">
        <f t="shared" si="329"/>
        <v>47990662.619999997</v>
      </c>
      <c r="AG309" s="384">
        <f t="shared" si="329"/>
        <v>22684525.630000003</v>
      </c>
      <c r="AH309" s="384">
        <f t="shared" si="329"/>
        <v>101548936.66999999</v>
      </c>
      <c r="AI309" s="384">
        <f t="shared" si="329"/>
        <v>75301413.210000008</v>
      </c>
      <c r="AJ309" s="384">
        <f t="shared" si="329"/>
        <v>18391058.389999997</v>
      </c>
      <c r="AK309" s="384">
        <f t="shared" si="329"/>
        <v>8006416.4899999993</v>
      </c>
      <c r="AL309" s="384">
        <f t="shared" si="329"/>
        <v>3711920.12</v>
      </c>
      <c r="AM309" s="384">
        <f t="shared" si="329"/>
        <v>45192018.210000001</v>
      </c>
      <c r="AN309" s="384">
        <f t="shared" si="329"/>
        <v>69458926.640000001</v>
      </c>
      <c r="AO309" s="384">
        <f t="shared" si="329"/>
        <v>18495306.400000002</v>
      </c>
      <c r="AP309" s="384">
        <f t="shared" si="329"/>
        <v>10195232.429999996</v>
      </c>
      <c r="AQ309" s="384">
        <f t="shared" si="329"/>
        <v>4162188.0699999994</v>
      </c>
      <c r="AR309" s="384">
        <f t="shared" si="329"/>
        <v>36606199.740000002</v>
      </c>
      <c r="AS309" s="384">
        <f t="shared" si="329"/>
        <v>27812149.419999998</v>
      </c>
      <c r="AT309" s="384">
        <f t="shared" si="329"/>
        <v>0</v>
      </c>
      <c r="AU309" s="384">
        <f t="shared" si="329"/>
        <v>0</v>
      </c>
      <c r="AV309" s="384">
        <f t="shared" si="329"/>
        <v>0</v>
      </c>
      <c r="AW309" s="384">
        <f t="shared" si="329"/>
        <v>27812149.419999998</v>
      </c>
      <c r="AX309" s="384">
        <f t="shared" si="329"/>
        <v>6912500</v>
      </c>
      <c r="AY309" s="384">
        <f t="shared" si="329"/>
        <v>0</v>
      </c>
      <c r="AZ309" s="384">
        <f t="shared" si="329"/>
        <v>0</v>
      </c>
      <c r="BA309" s="384">
        <f t="shared" si="329"/>
        <v>0</v>
      </c>
      <c r="BB309" s="384">
        <f t="shared" si="329"/>
        <v>6912500</v>
      </c>
      <c r="BC309" s="384">
        <f t="shared" si="329"/>
        <v>12413229.380000008</v>
      </c>
      <c r="BD309" s="384">
        <f>BD310+BD315+BD316+BD319+BD321+BD322+BD324</f>
        <v>22536.980000000003</v>
      </c>
      <c r="BE309" s="384">
        <f>BE310+BE315+BE316+BE319+BE322</f>
        <v>18586.139999999996</v>
      </c>
      <c r="BF309" s="384">
        <f t="shared" ref="BF309" si="330">BF310+BF315+BF316+BF319+BF322</f>
        <v>19953.639999999996</v>
      </c>
      <c r="BG309" s="384">
        <f t="shared" si="329"/>
        <v>0</v>
      </c>
      <c r="BH309" s="384">
        <f t="shared" si="329"/>
        <v>0</v>
      </c>
      <c r="BI309" s="384">
        <f t="shared" si="329"/>
        <v>0</v>
      </c>
      <c r="BJ309" s="384">
        <f t="shared" si="329"/>
        <v>0</v>
      </c>
      <c r="BK309" s="384">
        <f t="shared" si="329"/>
        <v>0</v>
      </c>
      <c r="BL309" s="384">
        <f t="shared" si="329"/>
        <v>12413229.380000012</v>
      </c>
      <c r="BM309" s="384">
        <f t="shared" si="329"/>
        <v>16319.23000001139</v>
      </c>
      <c r="BN309" s="384">
        <f t="shared" si="329"/>
        <v>-1183.7599999991944</v>
      </c>
      <c r="BO309" s="384">
        <f t="shared" si="329"/>
        <v>9.9999990197829902E-3</v>
      </c>
      <c r="BP309" s="384">
        <f t="shared" si="329"/>
        <v>12398093.9</v>
      </c>
      <c r="BQ309" s="384">
        <f t="shared" si="329"/>
        <v>0</v>
      </c>
      <c r="BR309" s="384">
        <f t="shared" si="329"/>
        <v>0</v>
      </c>
      <c r="BS309" s="384">
        <f t="shared" si="329"/>
        <v>0</v>
      </c>
      <c r="BT309" s="384">
        <f t="shared" ref="BT309:BV309" si="331">BT310+BT311+BT312+BT313+BT314+BT316+BT317+BT318+BT319+BT320+BT322+BT323+BT324+BT315+BT325+BT321</f>
        <v>0</v>
      </c>
      <c r="BU309" s="384">
        <f t="shared" si="331"/>
        <v>0</v>
      </c>
      <c r="BV309" s="384">
        <f t="shared" si="331"/>
        <v>12413229.380000008</v>
      </c>
    </row>
    <row r="310" spans="1:74" ht="19.149999999999999" customHeight="1" x14ac:dyDescent="0.25">
      <c r="A310" s="408" t="s">
        <v>193</v>
      </c>
      <c r="B310" s="409"/>
      <c r="C310" s="374">
        <v>310</v>
      </c>
      <c r="D310" s="405" t="s">
        <v>328</v>
      </c>
      <c r="E310" s="384">
        <f>E201</f>
        <v>562706018.60000002</v>
      </c>
      <c r="F310" s="384">
        <f t="shared" ref="F310:BQ313" si="332">F201</f>
        <v>94755819.120000005</v>
      </c>
      <c r="G310" s="384">
        <f t="shared" si="332"/>
        <v>229027023.25999999</v>
      </c>
      <c r="H310" s="384">
        <f t="shared" si="332"/>
        <v>27692212.999999996</v>
      </c>
      <c r="I310" s="384">
        <f t="shared" si="332"/>
        <v>211230963.22</v>
      </c>
      <c r="J310" s="384">
        <f t="shared" si="332"/>
        <v>0</v>
      </c>
      <c r="K310" s="384">
        <f t="shared" si="332"/>
        <v>0</v>
      </c>
      <c r="L310" s="384">
        <f t="shared" si="332"/>
        <v>0</v>
      </c>
      <c r="M310" s="384">
        <f t="shared" si="332"/>
        <v>0</v>
      </c>
      <c r="N310" s="384">
        <f t="shared" si="332"/>
        <v>0</v>
      </c>
      <c r="O310" s="384">
        <f t="shared" si="332"/>
        <v>53558302.990000002</v>
      </c>
      <c r="P310" s="384">
        <f t="shared" si="332"/>
        <v>14444674.33</v>
      </c>
      <c r="Q310" s="384">
        <f t="shared" si="332"/>
        <v>34925369.359999999</v>
      </c>
      <c r="R310" s="384">
        <f t="shared" si="332"/>
        <v>4188259.3000000003</v>
      </c>
      <c r="S310" s="384">
        <f t="shared" si="332"/>
        <v>0</v>
      </c>
      <c r="T310" s="384">
        <f t="shared" si="332"/>
        <v>339701856.91999996</v>
      </c>
      <c r="U310" s="384">
        <f t="shared" si="332"/>
        <v>70157715.170000002</v>
      </c>
      <c r="V310" s="384">
        <f t="shared" si="332"/>
        <v>169612756.42999998</v>
      </c>
      <c r="W310" s="384">
        <f t="shared" si="332"/>
        <v>20343963.899999999</v>
      </c>
      <c r="X310" s="384">
        <f t="shared" si="332"/>
        <v>79587421.420000002</v>
      </c>
      <c r="Y310" s="384">
        <f t="shared" si="332"/>
        <v>120643340.00999999</v>
      </c>
      <c r="Z310" s="384">
        <f t="shared" si="332"/>
        <v>9019214.3399999999</v>
      </c>
      <c r="AA310" s="384">
        <f t="shared" si="332"/>
        <v>21793058.780000001</v>
      </c>
      <c r="AB310" s="384">
        <f t="shared" si="332"/>
        <v>2616306.39</v>
      </c>
      <c r="AC310" s="384">
        <f t="shared" si="332"/>
        <v>87214760.5</v>
      </c>
      <c r="AD310" s="384">
        <f t="shared" si="332"/>
        <v>4442839.08</v>
      </c>
      <c r="AE310" s="384">
        <f t="shared" si="332"/>
        <v>0</v>
      </c>
      <c r="AF310" s="384">
        <f t="shared" si="332"/>
        <v>0</v>
      </c>
      <c r="AG310" s="384">
        <f t="shared" si="332"/>
        <v>0</v>
      </c>
      <c r="AH310" s="384">
        <f t="shared" si="332"/>
        <v>4442839.08</v>
      </c>
      <c r="AI310" s="384">
        <f t="shared" si="332"/>
        <v>24816651.75</v>
      </c>
      <c r="AJ310" s="384">
        <f t="shared" si="332"/>
        <v>0</v>
      </c>
      <c r="AK310" s="384">
        <f t="shared" si="332"/>
        <v>0</v>
      </c>
      <c r="AL310" s="384">
        <f t="shared" si="332"/>
        <v>0</v>
      </c>
      <c r="AM310" s="384">
        <f t="shared" si="332"/>
        <v>24816651.75</v>
      </c>
      <c r="AN310" s="384">
        <f t="shared" si="332"/>
        <v>19543027.849999998</v>
      </c>
      <c r="AO310" s="384">
        <f t="shared" si="332"/>
        <v>1134215.2800000003</v>
      </c>
      <c r="AP310" s="384">
        <f t="shared" si="332"/>
        <v>2695838.6899999976</v>
      </c>
      <c r="AQ310" s="384">
        <f t="shared" si="332"/>
        <v>543683.41</v>
      </c>
      <c r="AR310" s="384">
        <f t="shared" si="332"/>
        <v>15169290.469999999</v>
      </c>
      <c r="AS310" s="384">
        <f>AS201</f>
        <v>0</v>
      </c>
      <c r="AT310" s="384">
        <f t="shared" si="332"/>
        <v>0</v>
      </c>
      <c r="AU310" s="384">
        <f t="shared" si="332"/>
        <v>0</v>
      </c>
      <c r="AV310" s="384">
        <f t="shared" si="332"/>
        <v>0</v>
      </c>
      <c r="AW310" s="384">
        <f t="shared" si="332"/>
        <v>0</v>
      </c>
      <c r="AX310" s="384">
        <f t="shared" si="332"/>
        <v>0</v>
      </c>
      <c r="AY310" s="384">
        <f t="shared" si="332"/>
        <v>0</v>
      </c>
      <c r="AZ310" s="384">
        <f t="shared" si="332"/>
        <v>0</v>
      </c>
      <c r="BA310" s="384">
        <f t="shared" si="332"/>
        <v>0</v>
      </c>
      <c r="BB310" s="384">
        <f t="shared" si="332"/>
        <v>0</v>
      </c>
      <c r="BC310" s="384">
        <f t="shared" si="332"/>
        <v>8.8148226495832205E-9</v>
      </c>
      <c r="BD310" s="384">
        <f t="shared" si="332"/>
        <v>10160.230000000001</v>
      </c>
      <c r="BE310" s="384">
        <f t="shared" si="332"/>
        <v>10664.599999999999</v>
      </c>
      <c r="BF310" s="384">
        <f t="shared" si="332"/>
        <v>11745.39</v>
      </c>
      <c r="BG310" s="384">
        <f t="shared" si="332"/>
        <v>0</v>
      </c>
      <c r="BH310" s="384">
        <f t="shared" si="332"/>
        <v>0</v>
      </c>
      <c r="BI310" s="384">
        <f t="shared" si="332"/>
        <v>0</v>
      </c>
      <c r="BJ310" s="384">
        <f t="shared" si="332"/>
        <v>0</v>
      </c>
      <c r="BK310" s="384">
        <f t="shared" si="332"/>
        <v>0</v>
      </c>
      <c r="BL310" s="384">
        <f t="shared" si="332"/>
        <v>0</v>
      </c>
      <c r="BM310" s="384">
        <f t="shared" si="332"/>
        <v>0</v>
      </c>
      <c r="BN310" s="384">
        <f t="shared" si="332"/>
        <v>0</v>
      </c>
      <c r="BO310" s="384">
        <f t="shared" si="332"/>
        <v>0</v>
      </c>
      <c r="BP310" s="384">
        <f t="shared" si="332"/>
        <v>0</v>
      </c>
      <c r="BQ310" s="384">
        <f t="shared" si="332"/>
        <v>0</v>
      </c>
      <c r="BR310" s="384">
        <f t="shared" ref="BR310:BV313" si="333">BR201</f>
        <v>0</v>
      </c>
      <c r="BS310" s="384">
        <f t="shared" si="333"/>
        <v>0</v>
      </c>
      <c r="BT310" s="384">
        <f t="shared" si="333"/>
        <v>0</v>
      </c>
      <c r="BU310" s="384">
        <f t="shared" si="333"/>
        <v>0</v>
      </c>
      <c r="BV310" s="384">
        <f t="shared" si="333"/>
        <v>8.8148226495832205E-9</v>
      </c>
    </row>
    <row r="311" spans="1:74" ht="19.149999999999999" customHeight="1" x14ac:dyDescent="0.25">
      <c r="A311" s="408" t="s">
        <v>193</v>
      </c>
      <c r="B311" s="409"/>
      <c r="C311" s="374">
        <v>310</v>
      </c>
      <c r="D311" s="405" t="s">
        <v>328</v>
      </c>
      <c r="E311" s="384">
        <f>E202</f>
        <v>20635.89</v>
      </c>
      <c r="F311" s="384">
        <f t="shared" si="332"/>
        <v>0</v>
      </c>
      <c r="G311" s="384">
        <f t="shared" si="332"/>
        <v>0</v>
      </c>
      <c r="H311" s="384">
        <f t="shared" si="332"/>
        <v>0</v>
      </c>
      <c r="I311" s="384">
        <f t="shared" si="332"/>
        <v>20635.89</v>
      </c>
      <c r="J311" s="384">
        <f t="shared" si="332"/>
        <v>0</v>
      </c>
      <c r="K311" s="384">
        <f t="shared" si="332"/>
        <v>0</v>
      </c>
      <c r="L311" s="384">
        <f t="shared" si="332"/>
        <v>0</v>
      </c>
      <c r="M311" s="384">
        <f t="shared" si="332"/>
        <v>0</v>
      </c>
      <c r="N311" s="384">
        <f t="shared" si="332"/>
        <v>0</v>
      </c>
      <c r="O311" s="384">
        <f t="shared" si="332"/>
        <v>0</v>
      </c>
      <c r="P311" s="384">
        <f t="shared" si="332"/>
        <v>0</v>
      </c>
      <c r="Q311" s="384">
        <f t="shared" si="332"/>
        <v>0</v>
      </c>
      <c r="R311" s="384">
        <f t="shared" si="332"/>
        <v>0</v>
      </c>
      <c r="S311" s="384">
        <f t="shared" si="332"/>
        <v>0</v>
      </c>
      <c r="T311" s="384">
        <f t="shared" si="332"/>
        <v>0</v>
      </c>
      <c r="U311" s="384">
        <f t="shared" si="332"/>
        <v>0</v>
      </c>
      <c r="V311" s="384">
        <f t="shared" si="332"/>
        <v>0</v>
      </c>
      <c r="W311" s="384">
        <f t="shared" si="332"/>
        <v>0</v>
      </c>
      <c r="X311" s="384">
        <f t="shared" si="332"/>
        <v>0</v>
      </c>
      <c r="Y311" s="384">
        <f t="shared" si="332"/>
        <v>0</v>
      </c>
      <c r="Z311" s="384">
        <f t="shared" si="332"/>
        <v>0</v>
      </c>
      <c r="AA311" s="384">
        <f t="shared" si="332"/>
        <v>0</v>
      </c>
      <c r="AB311" s="384">
        <f t="shared" si="332"/>
        <v>0</v>
      </c>
      <c r="AC311" s="384">
        <f t="shared" si="332"/>
        <v>0</v>
      </c>
      <c r="AD311" s="384">
        <f t="shared" si="332"/>
        <v>20635.89</v>
      </c>
      <c r="AE311" s="384">
        <f t="shared" si="332"/>
        <v>0</v>
      </c>
      <c r="AF311" s="384">
        <f t="shared" si="332"/>
        <v>0</v>
      </c>
      <c r="AG311" s="384">
        <f t="shared" si="332"/>
        <v>0</v>
      </c>
      <c r="AH311" s="384">
        <f t="shared" si="332"/>
        <v>20635.89</v>
      </c>
      <c r="AI311" s="384">
        <f t="shared" si="332"/>
        <v>0</v>
      </c>
      <c r="AJ311" s="384">
        <f t="shared" si="332"/>
        <v>0</v>
      </c>
      <c r="AK311" s="384">
        <f t="shared" si="332"/>
        <v>0</v>
      </c>
      <c r="AL311" s="384">
        <f t="shared" si="332"/>
        <v>0</v>
      </c>
      <c r="AM311" s="384">
        <f t="shared" si="332"/>
        <v>0</v>
      </c>
      <c r="AN311" s="384">
        <f t="shared" si="332"/>
        <v>0</v>
      </c>
      <c r="AO311" s="384">
        <f t="shared" si="332"/>
        <v>0</v>
      </c>
      <c r="AP311" s="384">
        <f t="shared" si="332"/>
        <v>0</v>
      </c>
      <c r="AQ311" s="384">
        <f t="shared" si="332"/>
        <v>0</v>
      </c>
      <c r="AR311" s="384">
        <f t="shared" si="332"/>
        <v>0</v>
      </c>
      <c r="AS311" s="384">
        <f t="shared" si="332"/>
        <v>0</v>
      </c>
      <c r="AT311" s="384">
        <f t="shared" si="332"/>
        <v>0</v>
      </c>
      <c r="AU311" s="384">
        <f t="shared" si="332"/>
        <v>0</v>
      </c>
      <c r="AV311" s="384">
        <f t="shared" si="332"/>
        <v>0</v>
      </c>
      <c r="AW311" s="384">
        <f t="shared" si="332"/>
        <v>0</v>
      </c>
      <c r="AX311" s="384">
        <f t="shared" si="332"/>
        <v>0</v>
      </c>
      <c r="AY311" s="384">
        <f t="shared" si="332"/>
        <v>0</v>
      </c>
      <c r="AZ311" s="384">
        <f t="shared" si="332"/>
        <v>0</v>
      </c>
      <c r="BA311" s="384">
        <f t="shared" si="332"/>
        <v>0</v>
      </c>
      <c r="BB311" s="384">
        <f t="shared" si="332"/>
        <v>0</v>
      </c>
      <c r="BC311" s="384">
        <f t="shared" si="332"/>
        <v>0</v>
      </c>
      <c r="BD311" s="384" t="str">
        <f t="shared" si="332"/>
        <v>Х</v>
      </c>
      <c r="BE311" s="384" t="str">
        <f t="shared" si="332"/>
        <v>Х</v>
      </c>
      <c r="BF311" s="384" t="str">
        <f t="shared" si="332"/>
        <v>Х</v>
      </c>
      <c r="BG311" s="384">
        <f t="shared" si="332"/>
        <v>0</v>
      </c>
      <c r="BH311" s="384">
        <f t="shared" si="332"/>
        <v>0</v>
      </c>
      <c r="BI311" s="384">
        <f t="shared" si="332"/>
        <v>0</v>
      </c>
      <c r="BJ311" s="384">
        <f t="shared" si="332"/>
        <v>0</v>
      </c>
      <c r="BK311" s="384">
        <f t="shared" si="332"/>
        <v>0</v>
      </c>
      <c r="BL311" s="384">
        <f t="shared" si="332"/>
        <v>0</v>
      </c>
      <c r="BM311" s="384">
        <f t="shared" si="332"/>
        <v>0</v>
      </c>
      <c r="BN311" s="384">
        <f t="shared" si="332"/>
        <v>0</v>
      </c>
      <c r="BO311" s="384">
        <f t="shared" si="332"/>
        <v>0</v>
      </c>
      <c r="BP311" s="384">
        <f t="shared" si="332"/>
        <v>0</v>
      </c>
      <c r="BQ311" s="384">
        <f t="shared" si="332"/>
        <v>0</v>
      </c>
      <c r="BR311" s="384">
        <f t="shared" si="333"/>
        <v>0</v>
      </c>
      <c r="BS311" s="384">
        <f t="shared" si="333"/>
        <v>0</v>
      </c>
      <c r="BT311" s="384">
        <f t="shared" si="333"/>
        <v>0</v>
      </c>
      <c r="BU311" s="384">
        <f t="shared" si="333"/>
        <v>0</v>
      </c>
      <c r="BV311" s="384">
        <f t="shared" si="333"/>
        <v>0</v>
      </c>
    </row>
    <row r="312" spans="1:74" ht="19.149999999999999" customHeight="1" x14ac:dyDescent="0.25">
      <c r="A312" s="408" t="s">
        <v>193</v>
      </c>
      <c r="B312" s="409"/>
      <c r="C312" s="374">
        <v>226</v>
      </c>
      <c r="D312" s="405" t="s">
        <v>328</v>
      </c>
      <c r="E312" s="384">
        <f>E203</f>
        <v>51375013.260000005</v>
      </c>
      <c r="F312" s="384">
        <f t="shared" si="332"/>
        <v>0</v>
      </c>
      <c r="G312" s="384">
        <f t="shared" si="332"/>
        <v>0</v>
      </c>
      <c r="H312" s="384">
        <f t="shared" si="332"/>
        <v>0</v>
      </c>
      <c r="I312" s="384">
        <f t="shared" si="332"/>
        <v>51375013.260000005</v>
      </c>
      <c r="J312" s="384">
        <f t="shared" si="332"/>
        <v>1656913.57</v>
      </c>
      <c r="K312" s="384">
        <f t="shared" si="332"/>
        <v>0</v>
      </c>
      <c r="L312" s="384">
        <f t="shared" si="332"/>
        <v>0</v>
      </c>
      <c r="M312" s="384">
        <f t="shared" si="332"/>
        <v>0</v>
      </c>
      <c r="N312" s="384">
        <f t="shared" si="332"/>
        <v>1656913.57</v>
      </c>
      <c r="O312" s="384">
        <f t="shared" si="332"/>
        <v>27322953.620000005</v>
      </c>
      <c r="P312" s="384">
        <f t="shared" si="332"/>
        <v>0</v>
      </c>
      <c r="Q312" s="384">
        <f t="shared" si="332"/>
        <v>0</v>
      </c>
      <c r="R312" s="384">
        <f t="shared" si="332"/>
        <v>0</v>
      </c>
      <c r="S312" s="384">
        <f t="shared" si="332"/>
        <v>27322953.620000005</v>
      </c>
      <c r="T312" s="384">
        <f t="shared" si="332"/>
        <v>3939820.11</v>
      </c>
      <c r="U312" s="384">
        <f t="shared" si="332"/>
        <v>0</v>
      </c>
      <c r="V312" s="384">
        <f t="shared" si="332"/>
        <v>0</v>
      </c>
      <c r="W312" s="384">
        <f t="shared" si="332"/>
        <v>0</v>
      </c>
      <c r="X312" s="384">
        <f t="shared" si="332"/>
        <v>3939820.11</v>
      </c>
      <c r="Y312" s="384">
        <f t="shared" si="332"/>
        <v>8699452.870000001</v>
      </c>
      <c r="Z312" s="384">
        <f t="shared" si="332"/>
        <v>0</v>
      </c>
      <c r="AA312" s="384">
        <f t="shared" si="332"/>
        <v>0</v>
      </c>
      <c r="AB312" s="384">
        <f t="shared" si="332"/>
        <v>0</v>
      </c>
      <c r="AC312" s="384">
        <f t="shared" si="332"/>
        <v>8699452.870000001</v>
      </c>
      <c r="AD312" s="384">
        <f t="shared" si="332"/>
        <v>3351716.0399999996</v>
      </c>
      <c r="AE312" s="384">
        <f t="shared" si="332"/>
        <v>0</v>
      </c>
      <c r="AF312" s="384">
        <f t="shared" si="332"/>
        <v>0</v>
      </c>
      <c r="AG312" s="384">
        <f t="shared" si="332"/>
        <v>0</v>
      </c>
      <c r="AH312" s="384">
        <f t="shared" si="332"/>
        <v>3351716.0399999996</v>
      </c>
      <c r="AI312" s="384">
        <f t="shared" si="332"/>
        <v>813451</v>
      </c>
      <c r="AJ312" s="384">
        <f t="shared" si="332"/>
        <v>0</v>
      </c>
      <c r="AK312" s="384">
        <f t="shared" si="332"/>
        <v>0</v>
      </c>
      <c r="AL312" s="384">
        <f t="shared" si="332"/>
        <v>0</v>
      </c>
      <c r="AM312" s="384">
        <f t="shared" si="332"/>
        <v>813451</v>
      </c>
      <c r="AN312" s="384">
        <f t="shared" si="332"/>
        <v>8591.5500000000011</v>
      </c>
      <c r="AO312" s="384">
        <f t="shared" si="332"/>
        <v>0</v>
      </c>
      <c r="AP312" s="384">
        <f t="shared" si="332"/>
        <v>0</v>
      </c>
      <c r="AQ312" s="384">
        <f t="shared" si="332"/>
        <v>0</v>
      </c>
      <c r="AR312" s="384">
        <f t="shared" si="332"/>
        <v>8591.5500000000011</v>
      </c>
      <c r="AS312" s="384">
        <f t="shared" si="332"/>
        <v>5437816.9099999992</v>
      </c>
      <c r="AT312" s="384">
        <f t="shared" si="332"/>
        <v>0</v>
      </c>
      <c r="AU312" s="384">
        <f t="shared" si="332"/>
        <v>0</v>
      </c>
      <c r="AV312" s="384">
        <f t="shared" si="332"/>
        <v>0</v>
      </c>
      <c r="AW312" s="384">
        <f t="shared" si="332"/>
        <v>5437816.9099999992</v>
      </c>
      <c r="AX312" s="384">
        <f t="shared" si="332"/>
        <v>63900</v>
      </c>
      <c r="AY312" s="384">
        <f t="shared" si="332"/>
        <v>0</v>
      </c>
      <c r="AZ312" s="384">
        <f t="shared" si="332"/>
        <v>0</v>
      </c>
      <c r="BA312" s="384">
        <f t="shared" si="332"/>
        <v>0</v>
      </c>
      <c r="BB312" s="386">
        <f t="shared" si="332"/>
        <v>63900</v>
      </c>
      <c r="BC312" s="384">
        <f t="shared" si="332"/>
        <v>80397.589999999705</v>
      </c>
      <c r="BD312" s="384" t="str">
        <f t="shared" si="332"/>
        <v>Х</v>
      </c>
      <c r="BE312" s="384" t="str">
        <f t="shared" si="332"/>
        <v>Х</v>
      </c>
      <c r="BF312" s="384" t="str">
        <f t="shared" si="332"/>
        <v>Х</v>
      </c>
      <c r="BG312" s="384">
        <f t="shared" si="332"/>
        <v>0</v>
      </c>
      <c r="BH312" s="384">
        <f t="shared" si="332"/>
        <v>0</v>
      </c>
      <c r="BI312" s="384">
        <f t="shared" si="332"/>
        <v>0</v>
      </c>
      <c r="BJ312" s="384">
        <f t="shared" si="332"/>
        <v>0</v>
      </c>
      <c r="BK312" s="384">
        <f t="shared" si="332"/>
        <v>0</v>
      </c>
      <c r="BL312" s="384">
        <f t="shared" si="332"/>
        <v>80397.590000000011</v>
      </c>
      <c r="BM312" s="384">
        <f t="shared" si="332"/>
        <v>0</v>
      </c>
      <c r="BN312" s="384">
        <f t="shared" si="332"/>
        <v>0</v>
      </c>
      <c r="BO312" s="384">
        <f t="shared" si="332"/>
        <v>0</v>
      </c>
      <c r="BP312" s="384">
        <f t="shared" si="332"/>
        <v>80397.590000000011</v>
      </c>
      <c r="BQ312" s="384">
        <f t="shared" si="332"/>
        <v>0</v>
      </c>
      <c r="BR312" s="384">
        <f t="shared" si="333"/>
        <v>0</v>
      </c>
      <c r="BS312" s="384">
        <f t="shared" si="333"/>
        <v>0</v>
      </c>
      <c r="BT312" s="384">
        <f t="shared" si="333"/>
        <v>0</v>
      </c>
      <c r="BU312" s="386">
        <f t="shared" si="333"/>
        <v>0</v>
      </c>
      <c r="BV312" s="384">
        <f t="shared" si="333"/>
        <v>80397.589999999705</v>
      </c>
    </row>
    <row r="313" spans="1:74" ht="19.149999999999999" customHeight="1" x14ac:dyDescent="0.25">
      <c r="A313" s="433"/>
      <c r="B313" s="434" t="s">
        <v>193</v>
      </c>
      <c r="C313" s="374">
        <v>223</v>
      </c>
      <c r="D313" s="405" t="s">
        <v>328</v>
      </c>
      <c r="E313" s="384">
        <f>E204</f>
        <v>187243.47</v>
      </c>
      <c r="F313" s="384">
        <f t="shared" si="332"/>
        <v>0</v>
      </c>
      <c r="G313" s="384">
        <f t="shared" si="332"/>
        <v>0</v>
      </c>
      <c r="H313" s="384">
        <f t="shared" si="332"/>
        <v>0</v>
      </c>
      <c r="I313" s="384">
        <f t="shared" si="332"/>
        <v>187243.47</v>
      </c>
      <c r="J313" s="384">
        <f t="shared" si="332"/>
        <v>0</v>
      </c>
      <c r="K313" s="384">
        <f t="shared" si="332"/>
        <v>0</v>
      </c>
      <c r="L313" s="384">
        <f t="shared" si="332"/>
        <v>0</v>
      </c>
      <c r="M313" s="384">
        <f t="shared" si="332"/>
        <v>0</v>
      </c>
      <c r="N313" s="384">
        <f t="shared" si="332"/>
        <v>0</v>
      </c>
      <c r="O313" s="384">
        <f t="shared" si="332"/>
        <v>0</v>
      </c>
      <c r="P313" s="384">
        <f t="shared" si="332"/>
        <v>0</v>
      </c>
      <c r="Q313" s="384">
        <f t="shared" si="332"/>
        <v>0</v>
      </c>
      <c r="R313" s="384">
        <f t="shared" si="332"/>
        <v>0</v>
      </c>
      <c r="S313" s="384">
        <f t="shared" si="332"/>
        <v>0</v>
      </c>
      <c r="T313" s="384">
        <f t="shared" si="332"/>
        <v>0</v>
      </c>
      <c r="U313" s="384">
        <f t="shared" si="332"/>
        <v>0</v>
      </c>
      <c r="V313" s="384">
        <f t="shared" si="332"/>
        <v>0</v>
      </c>
      <c r="W313" s="384">
        <f t="shared" si="332"/>
        <v>0</v>
      </c>
      <c r="X313" s="384">
        <f t="shared" si="332"/>
        <v>0</v>
      </c>
      <c r="Y313" s="384">
        <f t="shared" si="332"/>
        <v>0</v>
      </c>
      <c r="Z313" s="384">
        <f t="shared" si="332"/>
        <v>0</v>
      </c>
      <c r="AA313" s="384">
        <f t="shared" si="332"/>
        <v>0</v>
      </c>
      <c r="AB313" s="384">
        <f t="shared" si="332"/>
        <v>0</v>
      </c>
      <c r="AC313" s="384">
        <f t="shared" si="332"/>
        <v>0</v>
      </c>
      <c r="AD313" s="384">
        <f t="shared" si="332"/>
        <v>0</v>
      </c>
      <c r="AE313" s="384">
        <f t="shared" si="332"/>
        <v>0</v>
      </c>
      <c r="AF313" s="384">
        <f t="shared" si="332"/>
        <v>0</v>
      </c>
      <c r="AG313" s="384">
        <f t="shared" si="332"/>
        <v>0</v>
      </c>
      <c r="AH313" s="384">
        <f t="shared" si="332"/>
        <v>0</v>
      </c>
      <c r="AI313" s="384">
        <f t="shared" si="332"/>
        <v>187243.47</v>
      </c>
      <c r="AJ313" s="384">
        <f t="shared" si="332"/>
        <v>0</v>
      </c>
      <c r="AK313" s="384">
        <f t="shared" si="332"/>
        <v>0</v>
      </c>
      <c r="AL313" s="384">
        <f t="shared" si="332"/>
        <v>0</v>
      </c>
      <c r="AM313" s="384">
        <f t="shared" si="332"/>
        <v>187243.47</v>
      </c>
      <c r="AN313" s="384">
        <f t="shared" si="332"/>
        <v>0</v>
      </c>
      <c r="AO313" s="384">
        <f t="shared" si="332"/>
        <v>0</v>
      </c>
      <c r="AP313" s="384">
        <f t="shared" si="332"/>
        <v>0</v>
      </c>
      <c r="AQ313" s="384">
        <f t="shared" si="332"/>
        <v>0</v>
      </c>
      <c r="AR313" s="384">
        <f t="shared" si="332"/>
        <v>0</v>
      </c>
      <c r="AS313" s="384">
        <f t="shared" si="332"/>
        <v>0</v>
      </c>
      <c r="AT313" s="384">
        <f t="shared" si="332"/>
        <v>0</v>
      </c>
      <c r="AU313" s="384">
        <f t="shared" si="332"/>
        <v>0</v>
      </c>
      <c r="AV313" s="384">
        <f t="shared" si="332"/>
        <v>0</v>
      </c>
      <c r="AW313" s="384">
        <f t="shared" si="332"/>
        <v>0</v>
      </c>
      <c r="AX313" s="384">
        <f t="shared" si="332"/>
        <v>0</v>
      </c>
      <c r="AY313" s="384">
        <f t="shared" si="332"/>
        <v>0</v>
      </c>
      <c r="AZ313" s="384">
        <f t="shared" si="332"/>
        <v>0</v>
      </c>
      <c r="BA313" s="384">
        <f t="shared" si="332"/>
        <v>0</v>
      </c>
      <c r="BB313" s="384">
        <f t="shared" si="332"/>
        <v>0</v>
      </c>
      <c r="BC313" s="384">
        <f t="shared" si="332"/>
        <v>0</v>
      </c>
      <c r="BD313" s="384">
        <f t="shared" si="332"/>
        <v>0</v>
      </c>
      <c r="BE313" s="384">
        <f t="shared" si="332"/>
        <v>0</v>
      </c>
      <c r="BF313" s="384">
        <f t="shared" si="332"/>
        <v>0</v>
      </c>
      <c r="BG313" s="384">
        <f t="shared" si="332"/>
        <v>0</v>
      </c>
      <c r="BH313" s="384">
        <f t="shared" si="332"/>
        <v>0</v>
      </c>
      <c r="BI313" s="384">
        <f t="shared" si="332"/>
        <v>0</v>
      </c>
      <c r="BJ313" s="384">
        <f t="shared" si="332"/>
        <v>0</v>
      </c>
      <c r="BK313" s="384">
        <f t="shared" si="332"/>
        <v>0</v>
      </c>
      <c r="BL313" s="384">
        <f t="shared" si="332"/>
        <v>0</v>
      </c>
      <c r="BM313" s="384">
        <f t="shared" si="332"/>
        <v>0</v>
      </c>
      <c r="BN313" s="384">
        <f t="shared" si="332"/>
        <v>0</v>
      </c>
      <c r="BO313" s="384">
        <f t="shared" si="332"/>
        <v>0</v>
      </c>
      <c r="BP313" s="384">
        <f t="shared" si="332"/>
        <v>0</v>
      </c>
      <c r="BQ313" s="384">
        <f t="shared" si="332"/>
        <v>0</v>
      </c>
      <c r="BR313" s="384">
        <f t="shared" si="333"/>
        <v>0</v>
      </c>
      <c r="BS313" s="384">
        <f t="shared" si="333"/>
        <v>0</v>
      </c>
      <c r="BT313" s="384">
        <f t="shared" si="333"/>
        <v>0</v>
      </c>
      <c r="BU313" s="384">
        <f t="shared" si="333"/>
        <v>0</v>
      </c>
      <c r="BV313" s="384">
        <f t="shared" si="333"/>
        <v>0</v>
      </c>
    </row>
    <row r="314" spans="1:74" ht="19.149999999999999" customHeight="1" x14ac:dyDescent="0.25">
      <c r="A314" s="433"/>
      <c r="B314" s="434" t="s">
        <v>193</v>
      </c>
      <c r="C314" s="374">
        <v>290</v>
      </c>
      <c r="D314" s="405" t="s">
        <v>328</v>
      </c>
      <c r="E314" s="384">
        <f t="shared" ref="E314:BP314" si="334">E205</f>
        <v>350000</v>
      </c>
      <c r="F314" s="384">
        <f t="shared" si="334"/>
        <v>0</v>
      </c>
      <c r="G314" s="384">
        <f t="shared" si="334"/>
        <v>0</v>
      </c>
      <c r="H314" s="384">
        <f t="shared" si="334"/>
        <v>0</v>
      </c>
      <c r="I314" s="384">
        <f t="shared" si="334"/>
        <v>350000</v>
      </c>
      <c r="J314" s="384">
        <f t="shared" si="334"/>
        <v>0</v>
      </c>
      <c r="K314" s="384">
        <f t="shared" si="334"/>
        <v>0</v>
      </c>
      <c r="L314" s="384">
        <f t="shared" si="334"/>
        <v>0</v>
      </c>
      <c r="M314" s="384">
        <f t="shared" si="334"/>
        <v>0</v>
      </c>
      <c r="N314" s="384">
        <f t="shared" si="334"/>
        <v>0</v>
      </c>
      <c r="O314" s="384">
        <f t="shared" si="334"/>
        <v>0</v>
      </c>
      <c r="P314" s="384">
        <f t="shared" si="334"/>
        <v>0</v>
      </c>
      <c r="Q314" s="384">
        <f t="shared" si="334"/>
        <v>0</v>
      </c>
      <c r="R314" s="384">
        <f t="shared" si="334"/>
        <v>0</v>
      </c>
      <c r="S314" s="384">
        <f t="shared" si="334"/>
        <v>0</v>
      </c>
      <c r="T314" s="384">
        <f t="shared" si="334"/>
        <v>0</v>
      </c>
      <c r="U314" s="384">
        <f t="shared" si="334"/>
        <v>0</v>
      </c>
      <c r="V314" s="384">
        <f t="shared" si="334"/>
        <v>0</v>
      </c>
      <c r="W314" s="384">
        <f t="shared" si="334"/>
        <v>0</v>
      </c>
      <c r="X314" s="384">
        <f t="shared" si="334"/>
        <v>0</v>
      </c>
      <c r="Y314" s="384">
        <f t="shared" si="334"/>
        <v>0</v>
      </c>
      <c r="Z314" s="384">
        <f t="shared" si="334"/>
        <v>0</v>
      </c>
      <c r="AA314" s="384">
        <f t="shared" si="334"/>
        <v>0</v>
      </c>
      <c r="AB314" s="384">
        <f t="shared" si="334"/>
        <v>0</v>
      </c>
      <c r="AC314" s="384">
        <f t="shared" si="334"/>
        <v>0</v>
      </c>
      <c r="AD314" s="384">
        <f t="shared" si="334"/>
        <v>350000</v>
      </c>
      <c r="AE314" s="384">
        <f t="shared" si="334"/>
        <v>0</v>
      </c>
      <c r="AF314" s="384">
        <f t="shared" si="334"/>
        <v>0</v>
      </c>
      <c r="AG314" s="384">
        <f t="shared" si="334"/>
        <v>0</v>
      </c>
      <c r="AH314" s="384">
        <f t="shared" si="334"/>
        <v>350000</v>
      </c>
      <c r="AI314" s="384">
        <f t="shared" si="334"/>
        <v>0</v>
      </c>
      <c r="AJ314" s="384">
        <f t="shared" si="334"/>
        <v>0</v>
      </c>
      <c r="AK314" s="384">
        <f t="shared" si="334"/>
        <v>0</v>
      </c>
      <c r="AL314" s="384">
        <f t="shared" si="334"/>
        <v>0</v>
      </c>
      <c r="AM314" s="384">
        <f t="shared" si="334"/>
        <v>0</v>
      </c>
      <c r="AN314" s="384">
        <f t="shared" si="334"/>
        <v>0</v>
      </c>
      <c r="AO314" s="384">
        <f t="shared" si="334"/>
        <v>0</v>
      </c>
      <c r="AP314" s="384">
        <f t="shared" si="334"/>
        <v>0</v>
      </c>
      <c r="AQ314" s="384">
        <f t="shared" si="334"/>
        <v>0</v>
      </c>
      <c r="AR314" s="384">
        <f t="shared" si="334"/>
        <v>0</v>
      </c>
      <c r="AS314" s="384">
        <f t="shared" si="334"/>
        <v>0</v>
      </c>
      <c r="AT314" s="384">
        <f t="shared" si="334"/>
        <v>0</v>
      </c>
      <c r="AU314" s="384">
        <f t="shared" si="334"/>
        <v>0</v>
      </c>
      <c r="AV314" s="384">
        <f t="shared" si="334"/>
        <v>0</v>
      </c>
      <c r="AW314" s="384">
        <f t="shared" si="334"/>
        <v>0</v>
      </c>
      <c r="AX314" s="384">
        <f t="shared" si="334"/>
        <v>0</v>
      </c>
      <c r="AY314" s="384">
        <f t="shared" si="334"/>
        <v>0</v>
      </c>
      <c r="AZ314" s="384">
        <f t="shared" si="334"/>
        <v>0</v>
      </c>
      <c r="BA314" s="384">
        <f t="shared" si="334"/>
        <v>0</v>
      </c>
      <c r="BB314" s="384">
        <f t="shared" si="334"/>
        <v>0</v>
      </c>
      <c r="BC314" s="384">
        <f t="shared" si="334"/>
        <v>0</v>
      </c>
      <c r="BD314" s="384" t="str">
        <f t="shared" si="334"/>
        <v>Х</v>
      </c>
      <c r="BE314" s="384" t="str">
        <f t="shared" si="334"/>
        <v>Х</v>
      </c>
      <c r="BF314" s="384" t="str">
        <f t="shared" si="334"/>
        <v>Х</v>
      </c>
      <c r="BG314" s="384">
        <f t="shared" si="334"/>
        <v>0</v>
      </c>
      <c r="BH314" s="384">
        <f t="shared" si="334"/>
        <v>0</v>
      </c>
      <c r="BI314" s="384">
        <f t="shared" si="334"/>
        <v>0</v>
      </c>
      <c r="BJ314" s="384">
        <f t="shared" si="334"/>
        <v>0</v>
      </c>
      <c r="BK314" s="384">
        <f t="shared" si="334"/>
        <v>0</v>
      </c>
      <c r="BL314" s="384">
        <f t="shared" si="334"/>
        <v>0</v>
      </c>
      <c r="BM314" s="384">
        <f t="shared" si="334"/>
        <v>0</v>
      </c>
      <c r="BN314" s="384">
        <f t="shared" si="334"/>
        <v>0</v>
      </c>
      <c r="BO314" s="384">
        <f t="shared" si="334"/>
        <v>0</v>
      </c>
      <c r="BP314" s="384">
        <f t="shared" si="334"/>
        <v>0</v>
      </c>
      <c r="BQ314" s="384">
        <f t="shared" ref="BQ314:BV314" si="335">BQ205</f>
        <v>0</v>
      </c>
      <c r="BR314" s="384">
        <f t="shared" si="335"/>
        <v>0</v>
      </c>
      <c r="BS314" s="384">
        <f t="shared" si="335"/>
        <v>0</v>
      </c>
      <c r="BT314" s="384">
        <f t="shared" si="335"/>
        <v>0</v>
      </c>
      <c r="BU314" s="384">
        <f t="shared" si="335"/>
        <v>0</v>
      </c>
      <c r="BV314" s="384">
        <f t="shared" si="335"/>
        <v>0</v>
      </c>
    </row>
    <row r="315" spans="1:74" ht="18.75" customHeight="1" x14ac:dyDescent="0.25">
      <c r="A315" s="433"/>
      <c r="B315" s="434" t="s">
        <v>193</v>
      </c>
      <c r="C315" s="374">
        <v>310</v>
      </c>
      <c r="D315" s="405" t="s">
        <v>328</v>
      </c>
      <c r="E315" s="384">
        <f>E207</f>
        <v>3327779</v>
      </c>
      <c r="F315" s="384">
        <f t="shared" ref="F315:BQ315" si="336">F207</f>
        <v>0</v>
      </c>
      <c r="G315" s="384">
        <f t="shared" si="336"/>
        <v>0</v>
      </c>
      <c r="H315" s="384">
        <f t="shared" si="336"/>
        <v>0</v>
      </c>
      <c r="I315" s="384">
        <f t="shared" si="336"/>
        <v>3327779</v>
      </c>
      <c r="J315" s="384">
        <f t="shared" si="336"/>
        <v>0</v>
      </c>
      <c r="K315" s="384">
        <f t="shared" si="336"/>
        <v>0</v>
      </c>
      <c r="L315" s="384">
        <f t="shared" si="336"/>
        <v>0</v>
      </c>
      <c r="M315" s="384">
        <f t="shared" si="336"/>
        <v>0</v>
      </c>
      <c r="N315" s="384">
        <f t="shared" si="336"/>
        <v>0</v>
      </c>
      <c r="O315" s="384">
        <f t="shared" si="336"/>
        <v>0</v>
      </c>
      <c r="P315" s="384">
        <f t="shared" si="336"/>
        <v>0</v>
      </c>
      <c r="Q315" s="384">
        <f t="shared" si="336"/>
        <v>0</v>
      </c>
      <c r="R315" s="384">
        <f t="shared" si="336"/>
        <v>0</v>
      </c>
      <c r="S315" s="384">
        <f t="shared" si="336"/>
        <v>0</v>
      </c>
      <c r="T315" s="384">
        <f t="shared" si="336"/>
        <v>0</v>
      </c>
      <c r="U315" s="384">
        <f t="shared" si="336"/>
        <v>0</v>
      </c>
      <c r="V315" s="384">
        <f t="shared" si="336"/>
        <v>0</v>
      </c>
      <c r="W315" s="384">
        <f t="shared" si="336"/>
        <v>0</v>
      </c>
      <c r="X315" s="384">
        <f t="shared" si="336"/>
        <v>0</v>
      </c>
      <c r="Y315" s="384">
        <f t="shared" si="336"/>
        <v>0</v>
      </c>
      <c r="Z315" s="384">
        <f t="shared" si="336"/>
        <v>0</v>
      </c>
      <c r="AA315" s="384">
        <f t="shared" si="336"/>
        <v>0</v>
      </c>
      <c r="AB315" s="384">
        <f t="shared" si="336"/>
        <v>0</v>
      </c>
      <c r="AC315" s="384">
        <f t="shared" si="336"/>
        <v>0</v>
      </c>
      <c r="AD315" s="384">
        <f t="shared" si="336"/>
        <v>0</v>
      </c>
      <c r="AE315" s="384">
        <f t="shared" si="336"/>
        <v>0</v>
      </c>
      <c r="AF315" s="384">
        <f t="shared" si="336"/>
        <v>0</v>
      </c>
      <c r="AG315" s="384">
        <f t="shared" si="336"/>
        <v>0</v>
      </c>
      <c r="AH315" s="384">
        <f t="shared" si="336"/>
        <v>0</v>
      </c>
      <c r="AI315" s="384">
        <f t="shared" si="336"/>
        <v>0</v>
      </c>
      <c r="AJ315" s="384">
        <f t="shared" si="336"/>
        <v>0</v>
      </c>
      <c r="AK315" s="384">
        <f t="shared" si="336"/>
        <v>0</v>
      </c>
      <c r="AL315" s="384">
        <f t="shared" si="336"/>
        <v>0</v>
      </c>
      <c r="AM315" s="384">
        <f t="shared" si="336"/>
        <v>0</v>
      </c>
      <c r="AN315" s="384">
        <f t="shared" si="336"/>
        <v>0</v>
      </c>
      <c r="AO315" s="384">
        <f t="shared" si="336"/>
        <v>0</v>
      </c>
      <c r="AP315" s="384">
        <f t="shared" si="336"/>
        <v>0</v>
      </c>
      <c r="AQ315" s="384">
        <f t="shared" si="336"/>
        <v>0</v>
      </c>
      <c r="AR315" s="384">
        <f t="shared" si="336"/>
        <v>0</v>
      </c>
      <c r="AS315" s="384">
        <f t="shared" si="336"/>
        <v>1857779</v>
      </c>
      <c r="AT315" s="384">
        <f t="shared" si="336"/>
        <v>0</v>
      </c>
      <c r="AU315" s="384">
        <f t="shared" si="336"/>
        <v>0</v>
      </c>
      <c r="AV315" s="384">
        <f t="shared" si="336"/>
        <v>0</v>
      </c>
      <c r="AW315" s="384">
        <f t="shared" si="336"/>
        <v>1857779</v>
      </c>
      <c r="AX315" s="384">
        <f t="shared" si="336"/>
        <v>1470000</v>
      </c>
      <c r="AY315" s="384">
        <f t="shared" si="336"/>
        <v>0</v>
      </c>
      <c r="AZ315" s="384">
        <f t="shared" si="336"/>
        <v>0</v>
      </c>
      <c r="BA315" s="384">
        <f t="shared" si="336"/>
        <v>0</v>
      </c>
      <c r="BB315" s="384">
        <f t="shared" si="336"/>
        <v>1470000</v>
      </c>
      <c r="BC315" s="384">
        <f t="shared" si="336"/>
        <v>0</v>
      </c>
      <c r="BD315" s="384">
        <f t="shared" si="336"/>
        <v>74.400000000000006</v>
      </c>
      <c r="BE315" s="384">
        <f t="shared" si="336"/>
        <v>0</v>
      </c>
      <c r="BF315" s="384">
        <f t="shared" si="336"/>
        <v>0</v>
      </c>
      <c r="BG315" s="384">
        <f>BG207</f>
        <v>0</v>
      </c>
      <c r="BH315" s="384">
        <f t="shared" si="336"/>
        <v>0</v>
      </c>
      <c r="BI315" s="384">
        <f t="shared" si="336"/>
        <v>0</v>
      </c>
      <c r="BJ315" s="384">
        <f t="shared" si="336"/>
        <v>0</v>
      </c>
      <c r="BK315" s="384">
        <f t="shared" si="336"/>
        <v>0</v>
      </c>
      <c r="BL315" s="384">
        <f t="shared" si="336"/>
        <v>0</v>
      </c>
      <c r="BM315" s="384">
        <f t="shared" si="336"/>
        <v>0</v>
      </c>
      <c r="BN315" s="384">
        <f t="shared" si="336"/>
        <v>0</v>
      </c>
      <c r="BO315" s="384">
        <f t="shared" si="336"/>
        <v>0</v>
      </c>
      <c r="BP315" s="384">
        <f t="shared" si="336"/>
        <v>0</v>
      </c>
      <c r="BQ315" s="384">
        <f t="shared" si="336"/>
        <v>0</v>
      </c>
      <c r="BR315" s="384">
        <f t="shared" ref="BR315:BV315" si="337">BR207</f>
        <v>0</v>
      </c>
      <c r="BS315" s="384">
        <f t="shared" si="337"/>
        <v>0</v>
      </c>
      <c r="BT315" s="384">
        <f t="shared" si="337"/>
        <v>0</v>
      </c>
      <c r="BU315" s="384">
        <f t="shared" si="337"/>
        <v>0</v>
      </c>
      <c r="BV315" s="384">
        <f t="shared" si="337"/>
        <v>0</v>
      </c>
    </row>
    <row r="316" spans="1:74" ht="19.149999999999999" customHeight="1" x14ac:dyDescent="0.25">
      <c r="A316" s="408" t="s">
        <v>195</v>
      </c>
      <c r="B316" s="409"/>
      <c r="C316" s="374">
        <v>310</v>
      </c>
      <c r="D316" s="405" t="s">
        <v>328</v>
      </c>
      <c r="E316" s="384">
        <f>E256</f>
        <v>118305478.25</v>
      </c>
      <c r="F316" s="384">
        <f t="shared" ref="F316:BC316" si="338">F256</f>
        <v>47799030.420000002</v>
      </c>
      <c r="G316" s="384">
        <f t="shared" si="338"/>
        <v>22367690.850000001</v>
      </c>
      <c r="H316" s="384">
        <f t="shared" si="338"/>
        <v>10234288.73</v>
      </c>
      <c r="I316" s="384">
        <f t="shared" si="338"/>
        <v>37904468.25</v>
      </c>
      <c r="J316" s="384">
        <f t="shared" si="338"/>
        <v>0</v>
      </c>
      <c r="K316" s="384">
        <f t="shared" si="338"/>
        <v>0</v>
      </c>
      <c r="L316" s="384">
        <f t="shared" si="338"/>
        <v>0</v>
      </c>
      <c r="M316" s="384">
        <f t="shared" si="338"/>
        <v>0</v>
      </c>
      <c r="N316" s="384">
        <f t="shared" si="338"/>
        <v>0</v>
      </c>
      <c r="O316" s="384">
        <f t="shared" si="338"/>
        <v>0</v>
      </c>
      <c r="P316" s="384">
        <f t="shared" si="338"/>
        <v>0</v>
      </c>
      <c r="Q316" s="384">
        <f t="shared" si="338"/>
        <v>0</v>
      </c>
      <c r="R316" s="384">
        <f t="shared" si="338"/>
        <v>0</v>
      </c>
      <c r="S316" s="384">
        <f t="shared" si="338"/>
        <v>0</v>
      </c>
      <c r="T316" s="384">
        <f t="shared" si="338"/>
        <v>71940769.280000001</v>
      </c>
      <c r="U316" s="384">
        <f t="shared" si="338"/>
        <v>42769351.039999999</v>
      </c>
      <c r="V316" s="384">
        <f t="shared" si="338"/>
        <v>20014038.199999999</v>
      </c>
      <c r="W316" s="384">
        <f t="shared" si="338"/>
        <v>9157380.0399999991</v>
      </c>
      <c r="X316" s="384">
        <f t="shared" si="338"/>
        <v>0</v>
      </c>
      <c r="Y316" s="384">
        <f t="shared" si="338"/>
        <v>35853023.810000002</v>
      </c>
      <c r="Z316" s="384">
        <f t="shared" si="338"/>
        <v>5029679.38</v>
      </c>
      <c r="AA316" s="384">
        <f t="shared" si="338"/>
        <v>2353652.65</v>
      </c>
      <c r="AB316" s="384">
        <f t="shared" si="338"/>
        <v>1076908.69</v>
      </c>
      <c r="AC316" s="384">
        <f t="shared" si="338"/>
        <v>27392783.089999996</v>
      </c>
      <c r="AD316" s="384">
        <f t="shared" si="338"/>
        <v>2672276.66</v>
      </c>
      <c r="AE316" s="384">
        <f t="shared" si="338"/>
        <v>0</v>
      </c>
      <c r="AF316" s="384">
        <f t="shared" si="338"/>
        <v>0</v>
      </c>
      <c r="AG316" s="384">
        <f t="shared" si="338"/>
        <v>0</v>
      </c>
      <c r="AH316" s="384">
        <f t="shared" si="338"/>
        <v>2672276.66</v>
      </c>
      <c r="AI316" s="384">
        <f t="shared" si="338"/>
        <v>7839408.5</v>
      </c>
      <c r="AJ316" s="384">
        <f t="shared" si="338"/>
        <v>0</v>
      </c>
      <c r="AK316" s="384">
        <f t="shared" si="338"/>
        <v>0</v>
      </c>
      <c r="AL316" s="384">
        <f t="shared" si="338"/>
        <v>0</v>
      </c>
      <c r="AM316" s="384">
        <f t="shared" si="338"/>
        <v>7839408.5</v>
      </c>
      <c r="AN316" s="384">
        <f t="shared" si="338"/>
        <v>0</v>
      </c>
      <c r="AO316" s="384">
        <f t="shared" si="338"/>
        <v>0</v>
      </c>
      <c r="AP316" s="384">
        <f t="shared" si="338"/>
        <v>0</v>
      </c>
      <c r="AQ316" s="384">
        <f t="shared" si="338"/>
        <v>0</v>
      </c>
      <c r="AR316" s="384">
        <f t="shared" si="338"/>
        <v>0</v>
      </c>
      <c r="AS316" s="384">
        <f t="shared" si="338"/>
        <v>0</v>
      </c>
      <c r="AT316" s="384">
        <f t="shared" si="338"/>
        <v>0</v>
      </c>
      <c r="AU316" s="384">
        <f t="shared" si="338"/>
        <v>0</v>
      </c>
      <c r="AV316" s="384">
        <f t="shared" si="338"/>
        <v>0</v>
      </c>
      <c r="AW316" s="384">
        <f t="shared" si="338"/>
        <v>0</v>
      </c>
      <c r="AX316" s="384">
        <f t="shared" si="338"/>
        <v>0</v>
      </c>
      <c r="AY316" s="384">
        <f t="shared" si="338"/>
        <v>0</v>
      </c>
      <c r="AZ316" s="384">
        <f t="shared" si="338"/>
        <v>0</v>
      </c>
      <c r="BA316" s="384">
        <f t="shared" si="338"/>
        <v>0</v>
      </c>
      <c r="BB316" s="384">
        <f t="shared" si="338"/>
        <v>0</v>
      </c>
      <c r="BC316" s="384">
        <f t="shared" si="338"/>
        <v>-2.3283064365386963E-10</v>
      </c>
      <c r="BD316" s="384">
        <f>BD256</f>
        <v>2182.3000000000002</v>
      </c>
      <c r="BE316" s="384">
        <f>BE256</f>
        <v>2327.4</v>
      </c>
      <c r="BF316" s="384">
        <f>BF256</f>
        <v>2589.8900000000003</v>
      </c>
      <c r="BG316" s="384">
        <f t="shared" ref="BG316:BV316" si="339">BG256</f>
        <v>0</v>
      </c>
      <c r="BH316" s="384">
        <f t="shared" si="339"/>
        <v>0</v>
      </c>
      <c r="BI316" s="384">
        <f t="shared" si="339"/>
        <v>0</v>
      </c>
      <c r="BJ316" s="384">
        <f t="shared" si="339"/>
        <v>0</v>
      </c>
      <c r="BK316" s="384">
        <f t="shared" si="339"/>
        <v>0</v>
      </c>
      <c r="BL316" s="384">
        <f t="shared" si="339"/>
        <v>0</v>
      </c>
      <c r="BM316" s="384">
        <f t="shared" si="339"/>
        <v>0</v>
      </c>
      <c r="BN316" s="384">
        <f t="shared" si="339"/>
        <v>0</v>
      </c>
      <c r="BO316" s="384">
        <f t="shared" si="339"/>
        <v>0</v>
      </c>
      <c r="BP316" s="384">
        <f t="shared" si="339"/>
        <v>0</v>
      </c>
      <c r="BQ316" s="384">
        <f t="shared" si="339"/>
        <v>0</v>
      </c>
      <c r="BR316" s="384">
        <f t="shared" si="339"/>
        <v>0</v>
      </c>
      <c r="BS316" s="384">
        <f t="shared" si="339"/>
        <v>0</v>
      </c>
      <c r="BT316" s="384">
        <f t="shared" si="339"/>
        <v>0</v>
      </c>
      <c r="BU316" s="384">
        <f t="shared" si="339"/>
        <v>0</v>
      </c>
      <c r="BV316" s="384">
        <f t="shared" si="339"/>
        <v>-2.3283064365386963E-10</v>
      </c>
    </row>
    <row r="317" spans="1:74" ht="19.149999999999999" customHeight="1" x14ac:dyDescent="0.25">
      <c r="A317" s="408" t="s">
        <v>195</v>
      </c>
      <c r="B317" s="409"/>
      <c r="C317" s="374">
        <v>226</v>
      </c>
      <c r="D317" s="405" t="s">
        <v>328</v>
      </c>
      <c r="E317" s="384">
        <f t="shared" ref="E317:BC317" si="340">E257+E258</f>
        <v>14498765.75</v>
      </c>
      <c r="F317" s="384">
        <f t="shared" si="340"/>
        <v>0</v>
      </c>
      <c r="G317" s="384">
        <f t="shared" si="340"/>
        <v>0</v>
      </c>
      <c r="H317" s="384">
        <f t="shared" si="340"/>
        <v>0</v>
      </c>
      <c r="I317" s="384">
        <f t="shared" si="340"/>
        <v>14498765.75</v>
      </c>
      <c r="J317" s="384">
        <f t="shared" si="340"/>
        <v>0</v>
      </c>
      <c r="K317" s="384">
        <f t="shared" si="340"/>
        <v>0</v>
      </c>
      <c r="L317" s="384">
        <f t="shared" si="340"/>
        <v>0</v>
      </c>
      <c r="M317" s="384">
        <f t="shared" si="340"/>
        <v>0</v>
      </c>
      <c r="N317" s="384">
        <f t="shared" si="340"/>
        <v>0</v>
      </c>
      <c r="O317" s="384">
        <f t="shared" si="340"/>
        <v>4079393.21</v>
      </c>
      <c r="P317" s="384">
        <f t="shared" si="340"/>
        <v>0</v>
      </c>
      <c r="Q317" s="384">
        <f t="shared" si="340"/>
        <v>0</v>
      </c>
      <c r="R317" s="384">
        <f t="shared" si="340"/>
        <v>0</v>
      </c>
      <c r="S317" s="384">
        <f t="shared" si="340"/>
        <v>4079393.21</v>
      </c>
      <c r="T317" s="384">
        <f t="shared" si="340"/>
        <v>5844571.0700000003</v>
      </c>
      <c r="U317" s="384">
        <f t="shared" si="340"/>
        <v>0</v>
      </c>
      <c r="V317" s="384">
        <f t="shared" si="340"/>
        <v>0</v>
      </c>
      <c r="W317" s="384">
        <f t="shared" si="340"/>
        <v>0</v>
      </c>
      <c r="X317" s="384">
        <f t="shared" si="340"/>
        <v>5844571.0700000003</v>
      </c>
      <c r="Y317" s="384">
        <f t="shared" si="340"/>
        <v>1758186.4000000001</v>
      </c>
      <c r="Z317" s="384">
        <f t="shared" si="340"/>
        <v>0</v>
      </c>
      <c r="AA317" s="384">
        <f t="shared" si="340"/>
        <v>0</v>
      </c>
      <c r="AB317" s="384">
        <f t="shared" si="340"/>
        <v>0</v>
      </c>
      <c r="AC317" s="384">
        <f t="shared" si="340"/>
        <v>1758186.4000000001</v>
      </c>
      <c r="AD317" s="384">
        <f t="shared" si="340"/>
        <v>575435.76</v>
      </c>
      <c r="AE317" s="384">
        <f t="shared" si="340"/>
        <v>0</v>
      </c>
      <c r="AF317" s="384">
        <f t="shared" si="340"/>
        <v>0</v>
      </c>
      <c r="AG317" s="384">
        <f t="shared" si="340"/>
        <v>0</v>
      </c>
      <c r="AH317" s="384">
        <f t="shared" si="340"/>
        <v>575435.76</v>
      </c>
      <c r="AI317" s="384">
        <f t="shared" si="340"/>
        <v>165590</v>
      </c>
      <c r="AJ317" s="384">
        <f t="shared" si="340"/>
        <v>0</v>
      </c>
      <c r="AK317" s="384">
        <f t="shared" si="340"/>
        <v>0</v>
      </c>
      <c r="AL317" s="384">
        <f t="shared" si="340"/>
        <v>0</v>
      </c>
      <c r="AM317" s="384">
        <f t="shared" si="340"/>
        <v>165590</v>
      </c>
      <c r="AN317" s="384">
        <f t="shared" si="340"/>
        <v>57208.45</v>
      </c>
      <c r="AO317" s="384">
        <f t="shared" si="340"/>
        <v>0</v>
      </c>
      <c r="AP317" s="384">
        <f t="shared" si="340"/>
        <v>0</v>
      </c>
      <c r="AQ317" s="384">
        <f t="shared" si="340"/>
        <v>0</v>
      </c>
      <c r="AR317" s="384">
        <f t="shared" si="340"/>
        <v>57208.45</v>
      </c>
      <c r="AS317" s="384">
        <f t="shared" si="340"/>
        <v>1985550.5699999996</v>
      </c>
      <c r="AT317" s="384">
        <f t="shared" si="340"/>
        <v>0</v>
      </c>
      <c r="AU317" s="384">
        <f t="shared" si="340"/>
        <v>0</v>
      </c>
      <c r="AV317" s="384">
        <f t="shared" si="340"/>
        <v>0</v>
      </c>
      <c r="AW317" s="384">
        <f t="shared" si="340"/>
        <v>1985550.5699999996</v>
      </c>
      <c r="AX317" s="384">
        <f t="shared" si="340"/>
        <v>0</v>
      </c>
      <c r="AY317" s="384">
        <f t="shared" si="340"/>
        <v>0</v>
      </c>
      <c r="AZ317" s="384">
        <f t="shared" si="340"/>
        <v>0</v>
      </c>
      <c r="BA317" s="384">
        <f t="shared" si="340"/>
        <v>0</v>
      </c>
      <c r="BB317" s="386">
        <f t="shared" si="340"/>
        <v>0</v>
      </c>
      <c r="BC317" s="384">
        <f t="shared" si="340"/>
        <v>32830.289999999957</v>
      </c>
      <c r="BD317" s="384" t="s">
        <v>328</v>
      </c>
      <c r="BE317" s="384" t="s">
        <v>328</v>
      </c>
      <c r="BF317" s="384" t="s">
        <v>328</v>
      </c>
      <c r="BG317" s="384">
        <f t="shared" ref="BG317:BG321" si="341">BH317+BI317+BJ317+BK317</f>
        <v>0</v>
      </c>
      <c r="BH317" s="384">
        <f t="shared" ref="BH317:BV317" si="342">BH257+BH258</f>
        <v>0</v>
      </c>
      <c r="BI317" s="384">
        <f t="shared" si="342"/>
        <v>0</v>
      </c>
      <c r="BJ317" s="384">
        <f t="shared" si="342"/>
        <v>0</v>
      </c>
      <c r="BK317" s="384">
        <f t="shared" si="342"/>
        <v>0</v>
      </c>
      <c r="BL317" s="384">
        <f t="shared" si="342"/>
        <v>32830.290000000015</v>
      </c>
      <c r="BM317" s="384">
        <f t="shared" si="342"/>
        <v>0</v>
      </c>
      <c r="BN317" s="384">
        <f t="shared" si="342"/>
        <v>0</v>
      </c>
      <c r="BO317" s="384">
        <f t="shared" si="342"/>
        <v>0</v>
      </c>
      <c r="BP317" s="384">
        <f t="shared" si="342"/>
        <v>32830.290000000015</v>
      </c>
      <c r="BQ317" s="384">
        <f t="shared" si="342"/>
        <v>0</v>
      </c>
      <c r="BR317" s="384">
        <f t="shared" si="342"/>
        <v>0</v>
      </c>
      <c r="BS317" s="384">
        <f t="shared" si="342"/>
        <v>0</v>
      </c>
      <c r="BT317" s="384">
        <f t="shared" si="342"/>
        <v>0</v>
      </c>
      <c r="BU317" s="386">
        <f t="shared" si="342"/>
        <v>0</v>
      </c>
      <c r="BV317" s="384">
        <f t="shared" si="342"/>
        <v>32830.289999999957</v>
      </c>
    </row>
    <row r="318" spans="1:74" ht="19.149999999999999" customHeight="1" x14ac:dyDescent="0.25">
      <c r="A318" s="433"/>
      <c r="B318" s="434" t="s">
        <v>195</v>
      </c>
      <c r="C318" s="374">
        <v>290</v>
      </c>
      <c r="D318" s="405" t="s">
        <v>328</v>
      </c>
      <c r="E318" s="384">
        <f t="shared" ref="E318:BC318" si="343">E260</f>
        <v>70000</v>
      </c>
      <c r="F318" s="384">
        <f t="shared" si="343"/>
        <v>0</v>
      </c>
      <c r="G318" s="384">
        <f t="shared" si="343"/>
        <v>0</v>
      </c>
      <c r="H318" s="384">
        <f t="shared" si="343"/>
        <v>0</v>
      </c>
      <c r="I318" s="384">
        <f t="shared" si="343"/>
        <v>70000</v>
      </c>
      <c r="J318" s="384">
        <f t="shared" si="343"/>
        <v>0</v>
      </c>
      <c r="K318" s="384">
        <f t="shared" si="343"/>
        <v>0</v>
      </c>
      <c r="L318" s="384">
        <f t="shared" si="343"/>
        <v>0</v>
      </c>
      <c r="M318" s="384">
        <f t="shared" si="343"/>
        <v>0</v>
      </c>
      <c r="N318" s="384">
        <f t="shared" si="343"/>
        <v>0</v>
      </c>
      <c r="O318" s="384">
        <f t="shared" si="343"/>
        <v>0</v>
      </c>
      <c r="P318" s="384">
        <f t="shared" si="343"/>
        <v>0</v>
      </c>
      <c r="Q318" s="384">
        <f t="shared" si="343"/>
        <v>0</v>
      </c>
      <c r="R318" s="384">
        <f t="shared" si="343"/>
        <v>0</v>
      </c>
      <c r="S318" s="384">
        <f t="shared" si="343"/>
        <v>0</v>
      </c>
      <c r="T318" s="384">
        <f t="shared" si="343"/>
        <v>0</v>
      </c>
      <c r="U318" s="384">
        <f t="shared" si="343"/>
        <v>0</v>
      </c>
      <c r="V318" s="384">
        <f t="shared" si="343"/>
        <v>0</v>
      </c>
      <c r="W318" s="384">
        <f t="shared" si="343"/>
        <v>0</v>
      </c>
      <c r="X318" s="384">
        <f t="shared" si="343"/>
        <v>0</v>
      </c>
      <c r="Y318" s="384">
        <f t="shared" si="343"/>
        <v>0</v>
      </c>
      <c r="Z318" s="384">
        <f t="shared" si="343"/>
        <v>0</v>
      </c>
      <c r="AA318" s="384">
        <f t="shared" si="343"/>
        <v>0</v>
      </c>
      <c r="AB318" s="384">
        <f t="shared" si="343"/>
        <v>0</v>
      </c>
      <c r="AC318" s="384">
        <f t="shared" si="343"/>
        <v>0</v>
      </c>
      <c r="AD318" s="384">
        <f t="shared" si="343"/>
        <v>70000</v>
      </c>
      <c r="AE318" s="384">
        <f t="shared" si="343"/>
        <v>0</v>
      </c>
      <c r="AF318" s="384">
        <f t="shared" si="343"/>
        <v>0</v>
      </c>
      <c r="AG318" s="384">
        <f t="shared" si="343"/>
        <v>0</v>
      </c>
      <c r="AH318" s="384">
        <f t="shared" si="343"/>
        <v>70000</v>
      </c>
      <c r="AI318" s="384">
        <f t="shared" si="343"/>
        <v>0</v>
      </c>
      <c r="AJ318" s="384">
        <f t="shared" si="343"/>
        <v>0</v>
      </c>
      <c r="AK318" s="384">
        <f t="shared" si="343"/>
        <v>0</v>
      </c>
      <c r="AL318" s="384">
        <f t="shared" si="343"/>
        <v>0</v>
      </c>
      <c r="AM318" s="384">
        <f t="shared" si="343"/>
        <v>0</v>
      </c>
      <c r="AN318" s="384">
        <f t="shared" si="343"/>
        <v>0</v>
      </c>
      <c r="AO318" s="384">
        <f t="shared" si="343"/>
        <v>0</v>
      </c>
      <c r="AP318" s="384">
        <f t="shared" si="343"/>
        <v>0</v>
      </c>
      <c r="AQ318" s="384">
        <f t="shared" si="343"/>
        <v>0</v>
      </c>
      <c r="AR318" s="384">
        <f t="shared" si="343"/>
        <v>0</v>
      </c>
      <c r="AS318" s="384">
        <f t="shared" si="343"/>
        <v>0</v>
      </c>
      <c r="AT318" s="384">
        <f t="shared" si="343"/>
        <v>0</v>
      </c>
      <c r="AU318" s="384">
        <f t="shared" si="343"/>
        <v>0</v>
      </c>
      <c r="AV318" s="384">
        <f t="shared" si="343"/>
        <v>0</v>
      </c>
      <c r="AW318" s="384">
        <f t="shared" si="343"/>
        <v>0</v>
      </c>
      <c r="AX318" s="384">
        <f t="shared" si="343"/>
        <v>0</v>
      </c>
      <c r="AY318" s="384">
        <f t="shared" si="343"/>
        <v>0</v>
      </c>
      <c r="AZ318" s="384">
        <f t="shared" si="343"/>
        <v>0</v>
      </c>
      <c r="BA318" s="384">
        <f t="shared" si="343"/>
        <v>0</v>
      </c>
      <c r="BB318" s="384">
        <f t="shared" si="343"/>
        <v>0</v>
      </c>
      <c r="BC318" s="384">
        <f t="shared" si="343"/>
        <v>0</v>
      </c>
      <c r="BD318" s="384" t="str">
        <f>BD260</f>
        <v>Х</v>
      </c>
      <c r="BE318" s="384" t="str">
        <f>BE260</f>
        <v>Х</v>
      </c>
      <c r="BF318" s="384" t="str">
        <f>BF260</f>
        <v>Х</v>
      </c>
      <c r="BG318" s="384">
        <f t="shared" ref="BG318:BV318" si="344">BG260</f>
        <v>0</v>
      </c>
      <c r="BH318" s="384">
        <f t="shared" si="344"/>
        <v>0</v>
      </c>
      <c r="BI318" s="384">
        <f t="shared" si="344"/>
        <v>0</v>
      </c>
      <c r="BJ318" s="384">
        <f t="shared" si="344"/>
        <v>0</v>
      </c>
      <c r="BK318" s="384">
        <f t="shared" si="344"/>
        <v>0</v>
      </c>
      <c r="BL318" s="384">
        <f t="shared" si="344"/>
        <v>0</v>
      </c>
      <c r="BM318" s="384">
        <f t="shared" si="344"/>
        <v>0</v>
      </c>
      <c r="BN318" s="384">
        <f t="shared" si="344"/>
        <v>0</v>
      </c>
      <c r="BO318" s="384">
        <f t="shared" si="344"/>
        <v>0</v>
      </c>
      <c r="BP318" s="384">
        <f t="shared" si="344"/>
        <v>0</v>
      </c>
      <c r="BQ318" s="384">
        <f t="shared" si="344"/>
        <v>0</v>
      </c>
      <c r="BR318" s="384">
        <f t="shared" si="344"/>
        <v>0</v>
      </c>
      <c r="BS318" s="384">
        <f t="shared" si="344"/>
        <v>0</v>
      </c>
      <c r="BT318" s="384">
        <f t="shared" si="344"/>
        <v>0</v>
      </c>
      <c r="BU318" s="384">
        <f t="shared" si="344"/>
        <v>0</v>
      </c>
      <c r="BV318" s="384">
        <f t="shared" si="344"/>
        <v>0</v>
      </c>
    </row>
    <row r="319" spans="1:74" ht="19.149999999999999" customHeight="1" x14ac:dyDescent="0.25">
      <c r="A319" s="408" t="s">
        <v>194</v>
      </c>
      <c r="B319" s="409"/>
      <c r="C319" s="374">
        <v>310</v>
      </c>
      <c r="D319" s="405" t="s">
        <v>328</v>
      </c>
      <c r="E319" s="384">
        <f>E206+E261+E281</f>
        <v>126077891.75999999</v>
      </c>
      <c r="F319" s="384">
        <f t="shared" ref="F319:BF319" si="345">F206+F261+F281</f>
        <v>67486581.090000004</v>
      </c>
      <c r="G319" s="384">
        <f t="shared" si="345"/>
        <v>22599374.600000001</v>
      </c>
      <c r="H319" s="384">
        <f t="shared" si="345"/>
        <v>7882789.2300000004</v>
      </c>
      <c r="I319" s="384">
        <f t="shared" si="345"/>
        <v>28109146.84</v>
      </c>
      <c r="J319" s="384">
        <f t="shared" si="345"/>
        <v>0</v>
      </c>
      <c r="K319" s="384">
        <f t="shared" si="345"/>
        <v>0</v>
      </c>
      <c r="L319" s="384">
        <f t="shared" si="345"/>
        <v>0</v>
      </c>
      <c r="M319" s="384">
        <f t="shared" si="345"/>
        <v>0</v>
      </c>
      <c r="N319" s="384">
        <f t="shared" si="345"/>
        <v>0</v>
      </c>
      <c r="O319" s="384">
        <f t="shared" si="345"/>
        <v>0</v>
      </c>
      <c r="P319" s="384">
        <f t="shared" si="345"/>
        <v>0</v>
      </c>
      <c r="Q319" s="384">
        <f t="shared" si="345"/>
        <v>0</v>
      </c>
      <c r="R319" s="384">
        <f t="shared" si="345"/>
        <v>0</v>
      </c>
      <c r="S319" s="384">
        <f t="shared" si="345"/>
        <v>0</v>
      </c>
      <c r="T319" s="384">
        <f t="shared" si="345"/>
        <v>5381119.4700000007</v>
      </c>
      <c r="U319" s="384">
        <f t="shared" si="345"/>
        <v>3449118.42</v>
      </c>
      <c r="V319" s="384">
        <f t="shared" si="345"/>
        <v>1511116.79</v>
      </c>
      <c r="W319" s="384">
        <f t="shared" si="345"/>
        <v>420884.26</v>
      </c>
      <c r="X319" s="384">
        <f t="shared" si="345"/>
        <v>0</v>
      </c>
      <c r="Y319" s="384">
        <f t="shared" si="345"/>
        <v>93752196.529999986</v>
      </c>
      <c r="Z319" s="384">
        <f t="shared" si="345"/>
        <v>64753137.890000001</v>
      </c>
      <c r="AA319" s="384">
        <f t="shared" si="345"/>
        <v>21667582.07</v>
      </c>
      <c r="AB319" s="384">
        <f t="shared" si="345"/>
        <v>7331476.5700000003</v>
      </c>
      <c r="AC319" s="384">
        <f t="shared" si="345"/>
        <v>0</v>
      </c>
      <c r="AD319" s="384">
        <f t="shared" si="345"/>
        <v>26944575.759999998</v>
      </c>
      <c r="AE319" s="384">
        <f t="shared" si="345"/>
        <v>-715675.22</v>
      </c>
      <c r="AF319" s="384">
        <f t="shared" si="345"/>
        <v>-579324.26</v>
      </c>
      <c r="AG319" s="384">
        <f t="shared" si="345"/>
        <v>130428.4</v>
      </c>
      <c r="AH319" s="384">
        <f t="shared" si="345"/>
        <v>28109146.84</v>
      </c>
      <c r="AI319" s="384">
        <f t="shared" si="345"/>
        <v>0</v>
      </c>
      <c r="AJ319" s="384">
        <f t="shared" si="345"/>
        <v>0</v>
      </c>
      <c r="AK319" s="384">
        <f t="shared" si="345"/>
        <v>0</v>
      </c>
      <c r="AL319" s="384">
        <f t="shared" si="345"/>
        <v>0</v>
      </c>
      <c r="AM319" s="384">
        <f t="shared" si="345"/>
        <v>0</v>
      </c>
      <c r="AN319" s="384">
        <f t="shared" si="345"/>
        <v>0</v>
      </c>
      <c r="AO319" s="384">
        <f t="shared" si="345"/>
        <v>0</v>
      </c>
      <c r="AP319" s="384">
        <f t="shared" si="345"/>
        <v>0</v>
      </c>
      <c r="AQ319" s="384">
        <f t="shared" si="345"/>
        <v>0</v>
      </c>
      <c r="AR319" s="384">
        <f t="shared" si="345"/>
        <v>0</v>
      </c>
      <c r="AS319" s="384">
        <f t="shared" si="345"/>
        <v>0</v>
      </c>
      <c r="AT319" s="384">
        <f t="shared" si="345"/>
        <v>0</v>
      </c>
      <c r="AU319" s="384">
        <f t="shared" si="345"/>
        <v>0</v>
      </c>
      <c r="AV319" s="384">
        <f t="shared" si="345"/>
        <v>0</v>
      </c>
      <c r="AW319" s="384">
        <f t="shared" si="345"/>
        <v>0</v>
      </c>
      <c r="AX319" s="384">
        <f t="shared" si="345"/>
        <v>0</v>
      </c>
      <c r="AY319" s="384">
        <f t="shared" si="345"/>
        <v>0</v>
      </c>
      <c r="AZ319" s="384">
        <f t="shared" si="345"/>
        <v>0</v>
      </c>
      <c r="BA319" s="384">
        <f t="shared" si="345"/>
        <v>0</v>
      </c>
      <c r="BB319" s="384">
        <f t="shared" si="345"/>
        <v>0</v>
      </c>
      <c r="BC319" s="384">
        <f t="shared" si="345"/>
        <v>7.2468537837266922E-9</v>
      </c>
      <c r="BD319" s="384">
        <f>BD206+BD261+BD281</f>
        <v>2526.0000000000005</v>
      </c>
      <c r="BE319" s="384">
        <f t="shared" si="345"/>
        <v>2923.2</v>
      </c>
      <c r="BF319" s="384">
        <f t="shared" si="345"/>
        <v>2947.42</v>
      </c>
      <c r="BG319" s="384">
        <f t="shared" si="341"/>
        <v>0</v>
      </c>
      <c r="BH319" s="384">
        <f t="shared" ref="BH319:BV319" si="346">BH206+BH261+BH281</f>
        <v>0</v>
      </c>
      <c r="BI319" s="384">
        <f t="shared" si="346"/>
        <v>0</v>
      </c>
      <c r="BJ319" s="384">
        <f t="shared" si="346"/>
        <v>0</v>
      </c>
      <c r="BK319" s="384">
        <f t="shared" si="346"/>
        <v>0</v>
      </c>
      <c r="BL319" s="384">
        <f t="shared" si="346"/>
        <v>0</v>
      </c>
      <c r="BM319" s="384">
        <f t="shared" si="346"/>
        <v>0</v>
      </c>
      <c r="BN319" s="384">
        <f t="shared" si="346"/>
        <v>0</v>
      </c>
      <c r="BO319" s="384">
        <f t="shared" si="346"/>
        <v>0</v>
      </c>
      <c r="BP319" s="384">
        <f t="shared" si="346"/>
        <v>0</v>
      </c>
      <c r="BQ319" s="384">
        <f t="shared" si="346"/>
        <v>0</v>
      </c>
      <c r="BR319" s="384">
        <f t="shared" si="346"/>
        <v>0</v>
      </c>
      <c r="BS319" s="384">
        <f t="shared" si="346"/>
        <v>0</v>
      </c>
      <c r="BT319" s="384">
        <f t="shared" si="346"/>
        <v>0</v>
      </c>
      <c r="BU319" s="384">
        <f t="shared" si="346"/>
        <v>0</v>
      </c>
      <c r="BV319" s="384">
        <f t="shared" si="346"/>
        <v>7.2468537837266922E-9</v>
      </c>
    </row>
    <row r="320" spans="1:74" ht="19.149999999999999" customHeight="1" x14ac:dyDescent="0.25">
      <c r="A320" s="408" t="s">
        <v>194</v>
      </c>
      <c r="B320" s="409"/>
      <c r="C320" s="374">
        <v>226</v>
      </c>
      <c r="D320" s="405" t="s">
        <v>328</v>
      </c>
      <c r="E320" s="384">
        <f t="shared" ref="E320:BC321" si="347">E282</f>
        <v>6428895.5600000005</v>
      </c>
      <c r="F320" s="384">
        <f t="shared" si="347"/>
        <v>0</v>
      </c>
      <c r="G320" s="384">
        <f t="shared" si="347"/>
        <v>0</v>
      </c>
      <c r="H320" s="384">
        <f t="shared" si="347"/>
        <v>0</v>
      </c>
      <c r="I320" s="384">
        <f t="shared" si="347"/>
        <v>6428895.5600000005</v>
      </c>
      <c r="J320" s="384">
        <f t="shared" si="347"/>
        <v>0</v>
      </c>
      <c r="K320" s="384">
        <f t="shared" si="347"/>
        <v>0</v>
      </c>
      <c r="L320" s="384">
        <f t="shared" si="347"/>
        <v>0</v>
      </c>
      <c r="M320" s="384">
        <f t="shared" si="347"/>
        <v>0</v>
      </c>
      <c r="N320" s="384">
        <f t="shared" si="347"/>
        <v>0</v>
      </c>
      <c r="O320" s="384">
        <f t="shared" si="347"/>
        <v>198594</v>
      </c>
      <c r="P320" s="384">
        <f t="shared" si="347"/>
        <v>0</v>
      </c>
      <c r="Q320" s="384">
        <f t="shared" si="347"/>
        <v>0</v>
      </c>
      <c r="R320" s="384">
        <f t="shared" si="347"/>
        <v>0</v>
      </c>
      <c r="S320" s="384">
        <f t="shared" si="347"/>
        <v>198594</v>
      </c>
      <c r="T320" s="384">
        <f t="shared" si="347"/>
        <v>2275716.58</v>
      </c>
      <c r="U320" s="384">
        <f t="shared" si="347"/>
        <v>0</v>
      </c>
      <c r="V320" s="384">
        <f t="shared" si="347"/>
        <v>0</v>
      </c>
      <c r="W320" s="384">
        <f t="shared" si="347"/>
        <v>0</v>
      </c>
      <c r="X320" s="384">
        <f t="shared" si="347"/>
        <v>2275716.58</v>
      </c>
      <c r="Y320" s="384">
        <f t="shared" si="347"/>
        <v>245616.62</v>
      </c>
      <c r="Z320" s="384">
        <f t="shared" si="347"/>
        <v>0</v>
      </c>
      <c r="AA320" s="384">
        <f t="shared" si="347"/>
        <v>0</v>
      </c>
      <c r="AB320" s="384">
        <f t="shared" si="347"/>
        <v>0</v>
      </c>
      <c r="AC320" s="384">
        <f t="shared" si="347"/>
        <v>245616.62</v>
      </c>
      <c r="AD320" s="384">
        <f t="shared" si="347"/>
        <v>3708968.3600000003</v>
      </c>
      <c r="AE320" s="384">
        <f t="shared" si="347"/>
        <v>0</v>
      </c>
      <c r="AF320" s="384">
        <f t="shared" si="347"/>
        <v>0</v>
      </c>
      <c r="AG320" s="384">
        <f t="shared" si="347"/>
        <v>0</v>
      </c>
      <c r="AH320" s="384">
        <f t="shared" si="347"/>
        <v>3708968.3600000003</v>
      </c>
      <c r="AI320" s="384">
        <f t="shared" si="347"/>
        <v>0</v>
      </c>
      <c r="AJ320" s="384">
        <f t="shared" si="347"/>
        <v>0</v>
      </c>
      <c r="AK320" s="384">
        <f t="shared" si="347"/>
        <v>0</v>
      </c>
      <c r="AL320" s="384">
        <f t="shared" si="347"/>
        <v>0</v>
      </c>
      <c r="AM320" s="384">
        <f t="shared" si="347"/>
        <v>0</v>
      </c>
      <c r="AN320" s="384">
        <f t="shared" si="347"/>
        <v>0</v>
      </c>
      <c r="AO320" s="384">
        <f t="shared" si="347"/>
        <v>0</v>
      </c>
      <c r="AP320" s="384">
        <f t="shared" si="347"/>
        <v>0</v>
      </c>
      <c r="AQ320" s="384">
        <f t="shared" si="347"/>
        <v>0</v>
      </c>
      <c r="AR320" s="384">
        <f t="shared" si="347"/>
        <v>0</v>
      </c>
      <c r="AS320" s="384">
        <f t="shared" si="347"/>
        <v>0</v>
      </c>
      <c r="AT320" s="384">
        <f t="shared" si="347"/>
        <v>0</v>
      </c>
      <c r="AU320" s="384">
        <f t="shared" si="347"/>
        <v>0</v>
      </c>
      <c r="AV320" s="384">
        <f t="shared" si="347"/>
        <v>0</v>
      </c>
      <c r="AW320" s="384">
        <f t="shared" si="347"/>
        <v>0</v>
      </c>
      <c r="AX320" s="384">
        <f t="shared" si="347"/>
        <v>0</v>
      </c>
      <c r="AY320" s="384">
        <f t="shared" si="347"/>
        <v>0</v>
      </c>
      <c r="AZ320" s="384">
        <f t="shared" si="347"/>
        <v>0</v>
      </c>
      <c r="BA320" s="384">
        <f t="shared" si="347"/>
        <v>0</v>
      </c>
      <c r="BB320" s="386">
        <f t="shared" si="347"/>
        <v>0</v>
      </c>
      <c r="BC320" s="384">
        <f t="shared" si="347"/>
        <v>0</v>
      </c>
      <c r="BD320" s="384" t="str">
        <f>BD282</f>
        <v>Х</v>
      </c>
      <c r="BE320" s="384">
        <v>0</v>
      </c>
      <c r="BF320" s="384">
        <v>0</v>
      </c>
      <c r="BG320" s="384">
        <f t="shared" si="341"/>
        <v>0</v>
      </c>
      <c r="BH320" s="384">
        <f t="shared" ref="BH320:BV321" si="348">BH282</f>
        <v>0</v>
      </c>
      <c r="BI320" s="384">
        <f t="shared" si="348"/>
        <v>0</v>
      </c>
      <c r="BJ320" s="384">
        <f t="shared" si="348"/>
        <v>0</v>
      </c>
      <c r="BK320" s="384">
        <f t="shared" si="348"/>
        <v>0</v>
      </c>
      <c r="BL320" s="384">
        <f t="shared" si="348"/>
        <v>0</v>
      </c>
      <c r="BM320" s="384">
        <f t="shared" si="348"/>
        <v>0</v>
      </c>
      <c r="BN320" s="384">
        <f t="shared" si="348"/>
        <v>0</v>
      </c>
      <c r="BO320" s="384">
        <f t="shared" si="348"/>
        <v>0</v>
      </c>
      <c r="BP320" s="384">
        <f t="shared" si="348"/>
        <v>0</v>
      </c>
      <c r="BQ320" s="384">
        <f t="shared" si="348"/>
        <v>0</v>
      </c>
      <c r="BR320" s="384">
        <f t="shared" si="348"/>
        <v>0</v>
      </c>
      <c r="BS320" s="384">
        <f t="shared" si="348"/>
        <v>0</v>
      </c>
      <c r="BT320" s="384">
        <f t="shared" si="348"/>
        <v>0</v>
      </c>
      <c r="BU320" s="386">
        <f t="shared" si="348"/>
        <v>0</v>
      </c>
      <c r="BV320" s="384">
        <f t="shared" si="348"/>
        <v>0</v>
      </c>
    </row>
    <row r="321" spans="1:74" ht="19.149999999999999" customHeight="1" x14ac:dyDescent="0.25">
      <c r="A321" s="408" t="s">
        <v>194</v>
      </c>
      <c r="B321" s="409"/>
      <c r="C321" s="374">
        <v>310</v>
      </c>
      <c r="D321" s="405" t="s">
        <v>328</v>
      </c>
      <c r="E321" s="384">
        <f>E283</f>
        <v>1000000</v>
      </c>
      <c r="F321" s="384">
        <f t="shared" si="347"/>
        <v>0</v>
      </c>
      <c r="G321" s="384">
        <f t="shared" si="347"/>
        <v>0</v>
      </c>
      <c r="H321" s="384">
        <f t="shared" si="347"/>
        <v>0</v>
      </c>
      <c r="I321" s="384">
        <f t="shared" si="347"/>
        <v>1000000</v>
      </c>
      <c r="J321" s="384">
        <f t="shared" si="347"/>
        <v>0</v>
      </c>
      <c r="K321" s="384">
        <f t="shared" si="347"/>
        <v>0</v>
      </c>
      <c r="L321" s="384">
        <f t="shared" si="347"/>
        <v>0</v>
      </c>
      <c r="M321" s="384">
        <f t="shared" si="347"/>
        <v>0</v>
      </c>
      <c r="N321" s="384">
        <f t="shared" si="347"/>
        <v>0</v>
      </c>
      <c r="O321" s="384">
        <f t="shared" si="347"/>
        <v>0</v>
      </c>
      <c r="P321" s="384">
        <f t="shared" si="347"/>
        <v>0</v>
      </c>
      <c r="Q321" s="384">
        <f t="shared" si="347"/>
        <v>0</v>
      </c>
      <c r="R321" s="384">
        <f t="shared" si="347"/>
        <v>0</v>
      </c>
      <c r="S321" s="384">
        <f t="shared" si="347"/>
        <v>0</v>
      </c>
      <c r="T321" s="384">
        <f t="shared" si="347"/>
        <v>0</v>
      </c>
      <c r="U321" s="384">
        <f t="shared" si="347"/>
        <v>0</v>
      </c>
      <c r="V321" s="384">
        <f t="shared" si="347"/>
        <v>0</v>
      </c>
      <c r="W321" s="384">
        <f t="shared" si="347"/>
        <v>0</v>
      </c>
      <c r="X321" s="384">
        <f t="shared" si="347"/>
        <v>0</v>
      </c>
      <c r="Y321" s="384">
        <f t="shared" si="347"/>
        <v>0</v>
      </c>
      <c r="Z321" s="384">
        <f t="shared" si="347"/>
        <v>0</v>
      </c>
      <c r="AA321" s="384">
        <f t="shared" si="347"/>
        <v>0</v>
      </c>
      <c r="AB321" s="384">
        <f t="shared" si="347"/>
        <v>0</v>
      </c>
      <c r="AC321" s="384">
        <f t="shared" si="347"/>
        <v>0</v>
      </c>
      <c r="AD321" s="384">
        <f t="shared" si="347"/>
        <v>0</v>
      </c>
      <c r="AE321" s="384">
        <f t="shared" si="347"/>
        <v>0</v>
      </c>
      <c r="AF321" s="384">
        <f t="shared" si="347"/>
        <v>0</v>
      </c>
      <c r="AG321" s="384">
        <f t="shared" si="347"/>
        <v>0</v>
      </c>
      <c r="AH321" s="384">
        <f t="shared" si="347"/>
        <v>0</v>
      </c>
      <c r="AI321" s="384">
        <f t="shared" si="347"/>
        <v>0</v>
      </c>
      <c r="AJ321" s="384">
        <f t="shared" si="347"/>
        <v>0</v>
      </c>
      <c r="AK321" s="384">
        <f t="shared" si="347"/>
        <v>0</v>
      </c>
      <c r="AL321" s="384">
        <f t="shared" si="347"/>
        <v>0</v>
      </c>
      <c r="AM321" s="384">
        <f t="shared" si="347"/>
        <v>0</v>
      </c>
      <c r="AN321" s="384">
        <f t="shared" si="347"/>
        <v>0</v>
      </c>
      <c r="AO321" s="384">
        <f t="shared" si="347"/>
        <v>0</v>
      </c>
      <c r="AP321" s="384">
        <f t="shared" si="347"/>
        <v>0</v>
      </c>
      <c r="AQ321" s="384">
        <f t="shared" si="347"/>
        <v>0</v>
      </c>
      <c r="AR321" s="384">
        <f t="shared" si="347"/>
        <v>0</v>
      </c>
      <c r="AS321" s="384">
        <f t="shared" si="347"/>
        <v>0</v>
      </c>
      <c r="AT321" s="384">
        <f t="shared" si="347"/>
        <v>0</v>
      </c>
      <c r="AU321" s="384">
        <f t="shared" si="347"/>
        <v>0</v>
      </c>
      <c r="AV321" s="384">
        <f t="shared" si="347"/>
        <v>0</v>
      </c>
      <c r="AW321" s="384">
        <f t="shared" si="347"/>
        <v>0</v>
      </c>
      <c r="AX321" s="384">
        <f t="shared" si="347"/>
        <v>1000000</v>
      </c>
      <c r="AY321" s="384">
        <f t="shared" si="347"/>
        <v>0</v>
      </c>
      <c r="AZ321" s="384">
        <f t="shared" si="347"/>
        <v>0</v>
      </c>
      <c r="BA321" s="384">
        <f t="shared" si="347"/>
        <v>0</v>
      </c>
      <c r="BB321" s="386">
        <f t="shared" si="347"/>
        <v>1000000</v>
      </c>
      <c r="BC321" s="384">
        <f t="shared" si="347"/>
        <v>0</v>
      </c>
      <c r="BD321" s="384">
        <f>BD283</f>
        <v>36.9</v>
      </c>
      <c r="BE321" s="384">
        <v>0</v>
      </c>
      <c r="BF321" s="384">
        <v>0</v>
      </c>
      <c r="BG321" s="384">
        <f t="shared" si="341"/>
        <v>0</v>
      </c>
      <c r="BH321" s="384">
        <f t="shared" si="348"/>
        <v>0</v>
      </c>
      <c r="BI321" s="384">
        <f t="shared" si="348"/>
        <v>0</v>
      </c>
      <c r="BJ321" s="384">
        <f t="shared" si="348"/>
        <v>0</v>
      </c>
      <c r="BK321" s="384">
        <f t="shared" si="348"/>
        <v>0</v>
      </c>
      <c r="BL321" s="384">
        <f t="shared" si="348"/>
        <v>0</v>
      </c>
      <c r="BM321" s="384">
        <f t="shared" si="348"/>
        <v>0</v>
      </c>
      <c r="BN321" s="384">
        <f t="shared" si="348"/>
        <v>0</v>
      </c>
      <c r="BO321" s="384">
        <f t="shared" si="348"/>
        <v>0</v>
      </c>
      <c r="BP321" s="384">
        <f t="shared" si="348"/>
        <v>0</v>
      </c>
      <c r="BQ321" s="384">
        <f t="shared" si="348"/>
        <v>0</v>
      </c>
      <c r="BR321" s="384">
        <f t="shared" si="348"/>
        <v>0</v>
      </c>
      <c r="BS321" s="384">
        <f t="shared" si="348"/>
        <v>0</v>
      </c>
      <c r="BT321" s="384">
        <f t="shared" si="348"/>
        <v>0</v>
      </c>
      <c r="BU321" s="386">
        <f t="shared" si="348"/>
        <v>0</v>
      </c>
      <c r="BV321" s="384">
        <f t="shared" si="348"/>
        <v>0</v>
      </c>
    </row>
    <row r="322" spans="1:74" ht="19.149999999999999" customHeight="1" x14ac:dyDescent="0.25">
      <c r="A322" s="408" t="s">
        <v>286</v>
      </c>
      <c r="B322" s="409"/>
      <c r="C322" s="374">
        <v>310</v>
      </c>
      <c r="D322" s="405" t="s">
        <v>328</v>
      </c>
      <c r="E322" s="384">
        <f t="shared" ref="E322:BD325" si="349">E305</f>
        <v>119156554.82000001</v>
      </c>
      <c r="F322" s="384">
        <f t="shared" si="349"/>
        <v>50560381.719999999</v>
      </c>
      <c r="G322" s="384">
        <f t="shared" si="349"/>
        <v>21766313.169999998</v>
      </c>
      <c r="H322" s="384">
        <f t="shared" si="349"/>
        <v>10107467.100000001</v>
      </c>
      <c r="I322" s="384">
        <f t="shared" si="349"/>
        <v>36722392.830000006</v>
      </c>
      <c r="J322" s="384">
        <f t="shared" si="349"/>
        <v>0</v>
      </c>
      <c r="K322" s="384">
        <f t="shared" si="349"/>
        <v>0</v>
      </c>
      <c r="L322" s="384">
        <f t="shared" si="349"/>
        <v>0</v>
      </c>
      <c r="M322" s="384">
        <f t="shared" si="349"/>
        <v>0</v>
      </c>
      <c r="N322" s="384">
        <f t="shared" si="349"/>
        <v>0</v>
      </c>
      <c r="O322" s="384">
        <f t="shared" si="349"/>
        <v>0</v>
      </c>
      <c r="P322" s="384">
        <f t="shared" si="349"/>
        <v>0</v>
      </c>
      <c r="Q322" s="384">
        <f t="shared" si="349"/>
        <v>0</v>
      </c>
      <c r="R322" s="384">
        <f t="shared" si="349"/>
        <v>0</v>
      </c>
      <c r="S322" s="384">
        <f t="shared" si="349"/>
        <v>0</v>
      </c>
      <c r="T322" s="384">
        <f t="shared" si="349"/>
        <v>0</v>
      </c>
      <c r="U322" s="384">
        <f t="shared" si="349"/>
        <v>0</v>
      </c>
      <c r="V322" s="384">
        <f t="shared" si="349"/>
        <v>0</v>
      </c>
      <c r="W322" s="384">
        <f t="shared" si="349"/>
        <v>0</v>
      </c>
      <c r="X322" s="384">
        <f t="shared" si="349"/>
        <v>0</v>
      </c>
      <c r="Y322" s="384">
        <f t="shared" si="349"/>
        <v>0</v>
      </c>
      <c r="Z322" s="384">
        <f t="shared" si="349"/>
        <v>0</v>
      </c>
      <c r="AA322" s="384">
        <f t="shared" si="349"/>
        <v>0</v>
      </c>
      <c r="AB322" s="384">
        <f t="shared" si="349"/>
        <v>0</v>
      </c>
      <c r="AC322" s="384">
        <f t="shared" si="349"/>
        <v>0</v>
      </c>
      <c r="AD322" s="384">
        <f t="shared" si="349"/>
        <v>114772942.32000001</v>
      </c>
      <c r="AE322" s="384">
        <f t="shared" si="349"/>
        <v>48848480.329999998</v>
      </c>
      <c r="AF322" s="384">
        <f t="shared" si="349"/>
        <v>21029337.289999999</v>
      </c>
      <c r="AG322" s="384">
        <f t="shared" si="349"/>
        <v>9765242.8900000006</v>
      </c>
      <c r="AH322" s="384">
        <f t="shared" si="349"/>
        <v>35129881.810000002</v>
      </c>
      <c r="AI322" s="384">
        <f t="shared" si="349"/>
        <v>4383612.5</v>
      </c>
      <c r="AJ322" s="384">
        <f t="shared" si="349"/>
        <v>1695582.16</v>
      </c>
      <c r="AK322" s="384">
        <f t="shared" si="349"/>
        <v>738159.64</v>
      </c>
      <c r="AL322" s="384">
        <f t="shared" si="349"/>
        <v>342224.2</v>
      </c>
      <c r="AM322" s="384">
        <f t="shared" si="349"/>
        <v>1607646.5</v>
      </c>
      <c r="AN322" s="384">
        <f t="shared" si="349"/>
        <v>0</v>
      </c>
      <c r="AO322" s="384">
        <f t="shared" si="349"/>
        <v>0</v>
      </c>
      <c r="AP322" s="384">
        <f t="shared" si="349"/>
        <v>0</v>
      </c>
      <c r="AQ322" s="384">
        <f t="shared" si="349"/>
        <v>0</v>
      </c>
      <c r="AR322" s="384">
        <f t="shared" si="349"/>
        <v>0</v>
      </c>
      <c r="AS322" s="384">
        <f t="shared" si="349"/>
        <v>0</v>
      </c>
      <c r="AT322" s="384">
        <f t="shared" si="349"/>
        <v>0</v>
      </c>
      <c r="AU322" s="384">
        <f t="shared" si="349"/>
        <v>0</v>
      </c>
      <c r="AV322" s="384">
        <f t="shared" si="349"/>
        <v>0</v>
      </c>
      <c r="AW322" s="384">
        <f t="shared" si="349"/>
        <v>0</v>
      </c>
      <c r="AX322" s="384">
        <f t="shared" si="349"/>
        <v>0</v>
      </c>
      <c r="AY322" s="384">
        <f t="shared" si="349"/>
        <v>0</v>
      </c>
      <c r="AZ322" s="384">
        <f t="shared" si="349"/>
        <v>0</v>
      </c>
      <c r="BA322" s="384">
        <f t="shared" si="349"/>
        <v>0</v>
      </c>
      <c r="BB322" s="386">
        <f t="shared" si="349"/>
        <v>0</v>
      </c>
      <c r="BC322" s="384">
        <f t="shared" si="349"/>
        <v>0</v>
      </c>
      <c r="BD322" s="384">
        <f t="shared" si="349"/>
        <v>2241.25</v>
      </c>
      <c r="BE322" s="384">
        <f>BE305</f>
        <v>2670.9399999999996</v>
      </c>
      <c r="BF322" s="384">
        <f>BF305</f>
        <v>2670.9399999999996</v>
      </c>
      <c r="BG322" s="384">
        <f>BH322+BI322+BJ322+BK322</f>
        <v>0</v>
      </c>
      <c r="BH322" s="384">
        <f t="shared" ref="BH322:BV325" si="350">BH305</f>
        <v>0</v>
      </c>
      <c r="BI322" s="384">
        <f t="shared" si="350"/>
        <v>0</v>
      </c>
      <c r="BJ322" s="384">
        <f t="shared" si="350"/>
        <v>0</v>
      </c>
      <c r="BK322" s="384">
        <f t="shared" si="350"/>
        <v>0</v>
      </c>
      <c r="BL322" s="384">
        <f t="shared" si="350"/>
        <v>5.8207660913467407E-11</v>
      </c>
      <c r="BM322" s="384">
        <f t="shared" si="350"/>
        <v>16319.230000000214</v>
      </c>
      <c r="BN322" s="384">
        <f t="shared" si="350"/>
        <v>-1183.7600000001257</v>
      </c>
      <c r="BO322" s="384">
        <f t="shared" si="350"/>
        <v>9.9999999511055648E-3</v>
      </c>
      <c r="BP322" s="384">
        <f t="shared" si="350"/>
        <v>-15135.479999999981</v>
      </c>
      <c r="BQ322" s="384">
        <f t="shared" si="350"/>
        <v>0</v>
      </c>
      <c r="BR322" s="384">
        <f t="shared" si="350"/>
        <v>0</v>
      </c>
      <c r="BS322" s="384">
        <f t="shared" si="350"/>
        <v>0</v>
      </c>
      <c r="BT322" s="384">
        <f t="shared" si="350"/>
        <v>0</v>
      </c>
      <c r="BU322" s="386">
        <f t="shared" si="350"/>
        <v>0</v>
      </c>
      <c r="BV322" s="384">
        <f t="shared" si="350"/>
        <v>0</v>
      </c>
    </row>
    <row r="323" spans="1:74" ht="19.149999999999999" customHeight="1" x14ac:dyDescent="0.25">
      <c r="A323" s="435" t="s">
        <v>286</v>
      </c>
      <c r="B323" s="436"/>
      <c r="C323" s="374">
        <v>226</v>
      </c>
      <c r="D323" s="405" t="s">
        <v>328</v>
      </c>
      <c r="E323" s="384">
        <f t="shared" si="349"/>
        <v>3731810.81</v>
      </c>
      <c r="F323" s="384">
        <f t="shared" si="349"/>
        <v>0</v>
      </c>
      <c r="G323" s="384">
        <f t="shared" si="349"/>
        <v>0</v>
      </c>
      <c r="H323" s="384">
        <f t="shared" si="349"/>
        <v>0</v>
      </c>
      <c r="I323" s="384">
        <f t="shared" si="349"/>
        <v>3731810.81</v>
      </c>
      <c r="J323" s="384">
        <f t="shared" si="349"/>
        <v>0</v>
      </c>
      <c r="K323" s="384">
        <f t="shared" si="349"/>
        <v>0</v>
      </c>
      <c r="L323" s="384">
        <f t="shared" si="349"/>
        <v>0</v>
      </c>
      <c r="M323" s="384">
        <f t="shared" si="349"/>
        <v>0</v>
      </c>
      <c r="N323" s="384">
        <f t="shared" si="349"/>
        <v>0</v>
      </c>
      <c r="O323" s="384">
        <f t="shared" si="349"/>
        <v>297891</v>
      </c>
      <c r="P323" s="384">
        <f t="shared" si="349"/>
        <v>0</v>
      </c>
      <c r="Q323" s="384">
        <f t="shared" si="349"/>
        <v>0</v>
      </c>
      <c r="R323" s="384">
        <f t="shared" si="349"/>
        <v>0</v>
      </c>
      <c r="S323" s="384">
        <f t="shared" si="349"/>
        <v>297891</v>
      </c>
      <c r="T323" s="384">
        <f t="shared" si="349"/>
        <v>1399267.79</v>
      </c>
      <c r="U323" s="384">
        <f t="shared" si="349"/>
        <v>0</v>
      </c>
      <c r="V323" s="384">
        <f t="shared" si="349"/>
        <v>0</v>
      </c>
      <c r="W323" s="384">
        <f t="shared" si="349"/>
        <v>0</v>
      </c>
      <c r="X323" s="384">
        <f t="shared" si="349"/>
        <v>1399267.79</v>
      </c>
      <c r="Y323" s="384">
        <f t="shared" si="349"/>
        <v>0</v>
      </c>
      <c r="Z323" s="384">
        <f t="shared" si="349"/>
        <v>0</v>
      </c>
      <c r="AA323" s="384">
        <f t="shared" si="349"/>
        <v>0</v>
      </c>
      <c r="AB323" s="384">
        <f t="shared" si="349"/>
        <v>0</v>
      </c>
      <c r="AC323" s="384">
        <f t="shared" si="349"/>
        <v>0</v>
      </c>
      <c r="AD323" s="384">
        <f t="shared" si="349"/>
        <v>2034652.02</v>
      </c>
      <c r="AE323" s="384">
        <f t="shared" si="349"/>
        <v>0</v>
      </c>
      <c r="AF323" s="384">
        <f t="shared" si="349"/>
        <v>0</v>
      </c>
      <c r="AG323" s="384">
        <f t="shared" si="349"/>
        <v>0</v>
      </c>
      <c r="AH323" s="384">
        <f t="shared" si="349"/>
        <v>2034652.02</v>
      </c>
      <c r="AI323" s="384">
        <f t="shared" si="349"/>
        <v>0</v>
      </c>
      <c r="AJ323" s="384">
        <f t="shared" si="349"/>
        <v>0</v>
      </c>
      <c r="AK323" s="384">
        <f t="shared" si="349"/>
        <v>0</v>
      </c>
      <c r="AL323" s="384">
        <f t="shared" si="349"/>
        <v>0</v>
      </c>
      <c r="AM323" s="384">
        <f t="shared" si="349"/>
        <v>0</v>
      </c>
      <c r="AN323" s="384">
        <f t="shared" si="349"/>
        <v>0</v>
      </c>
      <c r="AO323" s="384">
        <f t="shared" si="349"/>
        <v>0</v>
      </c>
      <c r="AP323" s="384">
        <f t="shared" si="349"/>
        <v>0</v>
      </c>
      <c r="AQ323" s="384">
        <f t="shared" si="349"/>
        <v>0</v>
      </c>
      <c r="AR323" s="384">
        <f t="shared" si="349"/>
        <v>0</v>
      </c>
      <c r="AS323" s="384">
        <f t="shared" si="349"/>
        <v>0</v>
      </c>
      <c r="AT323" s="384">
        <f t="shared" si="349"/>
        <v>0</v>
      </c>
      <c r="AU323" s="384">
        <f t="shared" si="349"/>
        <v>0</v>
      </c>
      <c r="AV323" s="384">
        <f t="shared" si="349"/>
        <v>0</v>
      </c>
      <c r="AW323" s="384">
        <f t="shared" si="349"/>
        <v>0</v>
      </c>
      <c r="AX323" s="384">
        <f t="shared" si="349"/>
        <v>0</v>
      </c>
      <c r="AY323" s="384">
        <f t="shared" si="349"/>
        <v>0</v>
      </c>
      <c r="AZ323" s="384">
        <f t="shared" si="349"/>
        <v>0</v>
      </c>
      <c r="BA323" s="384">
        <f t="shared" si="349"/>
        <v>0</v>
      </c>
      <c r="BB323" s="384">
        <f t="shared" si="349"/>
        <v>0</v>
      </c>
      <c r="BC323" s="384">
        <f t="shared" si="349"/>
        <v>0</v>
      </c>
      <c r="BD323" s="384" t="str">
        <f t="shared" si="349"/>
        <v>Х</v>
      </c>
      <c r="BE323" s="384" t="str">
        <f>BE306</f>
        <v>Х</v>
      </c>
      <c r="BF323" s="384" t="str">
        <f t="shared" ref="BF323:BF325" si="351">BF306</f>
        <v>Х</v>
      </c>
      <c r="BG323" s="384">
        <f>BG306</f>
        <v>0</v>
      </c>
      <c r="BH323" s="384">
        <f t="shared" si="350"/>
        <v>0</v>
      </c>
      <c r="BI323" s="384">
        <f t="shared" si="350"/>
        <v>0</v>
      </c>
      <c r="BJ323" s="384">
        <f t="shared" si="350"/>
        <v>0</v>
      </c>
      <c r="BK323" s="384">
        <f t="shared" si="350"/>
        <v>0</v>
      </c>
      <c r="BL323" s="384">
        <f t="shared" si="350"/>
        <v>0</v>
      </c>
      <c r="BM323" s="384">
        <f t="shared" si="350"/>
        <v>0</v>
      </c>
      <c r="BN323" s="384">
        <f t="shared" si="350"/>
        <v>0</v>
      </c>
      <c r="BO323" s="384">
        <f t="shared" si="350"/>
        <v>0</v>
      </c>
      <c r="BP323" s="384">
        <f t="shared" si="350"/>
        <v>0</v>
      </c>
      <c r="BQ323" s="384">
        <f t="shared" si="350"/>
        <v>0</v>
      </c>
      <c r="BR323" s="384">
        <f t="shared" si="350"/>
        <v>0</v>
      </c>
      <c r="BS323" s="384">
        <f t="shared" si="350"/>
        <v>0</v>
      </c>
      <c r="BT323" s="384">
        <f t="shared" si="350"/>
        <v>0</v>
      </c>
      <c r="BU323" s="384">
        <f t="shared" si="350"/>
        <v>0</v>
      </c>
      <c r="BV323" s="384">
        <f t="shared" si="350"/>
        <v>0</v>
      </c>
    </row>
    <row r="324" spans="1:74" ht="19.149999999999999" customHeight="1" x14ac:dyDescent="0.25">
      <c r="A324" s="433"/>
      <c r="B324" s="434" t="s">
        <v>286</v>
      </c>
      <c r="C324" s="437">
        <v>310</v>
      </c>
      <c r="D324" s="405" t="s">
        <v>328</v>
      </c>
      <c r="E324" s="384">
        <f>E307</f>
        <v>247315102.27000001</v>
      </c>
      <c r="F324" s="384">
        <f t="shared" si="349"/>
        <v>98029999.210000008</v>
      </c>
      <c r="G324" s="384">
        <f t="shared" si="349"/>
        <v>42308300.18</v>
      </c>
      <c r="H324" s="384">
        <f t="shared" si="349"/>
        <v>19777054.919999998</v>
      </c>
      <c r="I324" s="384">
        <f t="shared" si="349"/>
        <v>87199747.960000008</v>
      </c>
      <c r="J324" s="384">
        <f t="shared" si="349"/>
        <v>0</v>
      </c>
      <c r="K324" s="384">
        <f t="shared" si="349"/>
        <v>0</v>
      </c>
      <c r="L324" s="384">
        <f t="shared" si="349"/>
        <v>0</v>
      </c>
      <c r="M324" s="384">
        <f t="shared" si="349"/>
        <v>0</v>
      </c>
      <c r="N324" s="384">
        <f t="shared" si="349"/>
        <v>0</v>
      </c>
      <c r="O324" s="384">
        <f t="shared" si="349"/>
        <v>0</v>
      </c>
      <c r="P324" s="384">
        <f t="shared" si="349"/>
        <v>0</v>
      </c>
      <c r="Q324" s="384">
        <f t="shared" si="349"/>
        <v>0</v>
      </c>
      <c r="R324" s="384">
        <f t="shared" si="349"/>
        <v>0</v>
      </c>
      <c r="S324" s="384">
        <f t="shared" si="349"/>
        <v>0</v>
      </c>
      <c r="T324" s="384">
        <f t="shared" si="349"/>
        <v>0</v>
      </c>
      <c r="U324" s="384">
        <f t="shared" si="349"/>
        <v>0</v>
      </c>
      <c r="V324" s="384">
        <f t="shared" si="349"/>
        <v>0</v>
      </c>
      <c r="W324" s="384">
        <f t="shared" si="349"/>
        <v>0</v>
      </c>
      <c r="X324" s="384">
        <f t="shared" si="349"/>
        <v>0</v>
      </c>
      <c r="Y324" s="384">
        <f t="shared" si="349"/>
        <v>0</v>
      </c>
      <c r="Z324" s="384">
        <f t="shared" si="349"/>
        <v>0</v>
      </c>
      <c r="AA324" s="384">
        <f t="shared" si="349"/>
        <v>0</v>
      </c>
      <c r="AB324" s="384">
        <f t="shared" si="349"/>
        <v>0</v>
      </c>
      <c r="AC324" s="384">
        <f t="shared" si="349"/>
        <v>0</v>
      </c>
      <c r="AD324" s="384">
        <f t="shared" si="349"/>
        <v>125386320</v>
      </c>
      <c r="AE324" s="384">
        <f t="shared" si="349"/>
        <v>63973431.859999999</v>
      </c>
      <c r="AF324" s="384">
        <f t="shared" si="349"/>
        <v>27540649.59</v>
      </c>
      <c r="AG324" s="384">
        <f t="shared" si="349"/>
        <v>12788854.34</v>
      </c>
      <c r="AH324" s="384">
        <f t="shared" si="349"/>
        <v>21083384.210000001</v>
      </c>
      <c r="AI324" s="384">
        <f t="shared" si="349"/>
        <v>37095455.990000002</v>
      </c>
      <c r="AJ324" s="384">
        <f t="shared" si="349"/>
        <v>16695476.229999999</v>
      </c>
      <c r="AK324" s="384">
        <f t="shared" si="349"/>
        <v>7268256.8499999996</v>
      </c>
      <c r="AL324" s="384">
        <f t="shared" si="349"/>
        <v>3369695.92</v>
      </c>
      <c r="AM324" s="384">
        <f t="shared" si="349"/>
        <v>9762026.9900000002</v>
      </c>
      <c r="AN324" s="384">
        <f t="shared" si="349"/>
        <v>49850098.790000007</v>
      </c>
      <c r="AO324" s="384">
        <f t="shared" si="349"/>
        <v>17361091.120000001</v>
      </c>
      <c r="AP324" s="384">
        <f t="shared" si="349"/>
        <v>7499393.7399999993</v>
      </c>
      <c r="AQ324" s="384">
        <f t="shared" si="349"/>
        <v>3618504.6599999992</v>
      </c>
      <c r="AR324" s="384">
        <f t="shared" si="349"/>
        <v>21371109.270000003</v>
      </c>
      <c r="AS324" s="384">
        <f t="shared" si="349"/>
        <v>18304625.990000002</v>
      </c>
      <c r="AT324" s="384">
        <f t="shared" si="349"/>
        <v>0</v>
      </c>
      <c r="AU324" s="384">
        <f t="shared" si="349"/>
        <v>0</v>
      </c>
      <c r="AV324" s="384">
        <f t="shared" si="349"/>
        <v>0</v>
      </c>
      <c r="AW324" s="384">
        <f t="shared" si="349"/>
        <v>18304625.990000002</v>
      </c>
      <c r="AX324" s="384">
        <f t="shared" si="349"/>
        <v>4378600</v>
      </c>
      <c r="AY324" s="384">
        <f t="shared" si="349"/>
        <v>0</v>
      </c>
      <c r="AZ324" s="384">
        <f t="shared" si="349"/>
        <v>0</v>
      </c>
      <c r="BA324" s="384">
        <f t="shared" si="349"/>
        <v>0</v>
      </c>
      <c r="BB324" s="384">
        <f t="shared" si="349"/>
        <v>4378600</v>
      </c>
      <c r="BC324" s="384">
        <f t="shared" si="349"/>
        <v>12300001.499999993</v>
      </c>
      <c r="BD324" s="384">
        <f>BD307</f>
        <v>5315.9</v>
      </c>
      <c r="BE324" s="384" t="str">
        <f>BE307</f>
        <v>Х</v>
      </c>
      <c r="BF324" s="384" t="str">
        <f t="shared" si="351"/>
        <v>Х</v>
      </c>
      <c r="BG324" s="384">
        <f>BG307</f>
        <v>0</v>
      </c>
      <c r="BH324" s="384">
        <f t="shared" si="350"/>
        <v>0</v>
      </c>
      <c r="BI324" s="384">
        <f t="shared" si="350"/>
        <v>0</v>
      </c>
      <c r="BJ324" s="384">
        <f t="shared" si="350"/>
        <v>0</v>
      </c>
      <c r="BK324" s="384">
        <f t="shared" si="350"/>
        <v>0</v>
      </c>
      <c r="BL324" s="384">
        <f t="shared" si="350"/>
        <v>12300001.500000011</v>
      </c>
      <c r="BM324" s="384">
        <f t="shared" si="350"/>
        <v>1.1175870895385742E-8</v>
      </c>
      <c r="BN324" s="384">
        <f t="shared" si="350"/>
        <v>9.3132257461547852E-10</v>
      </c>
      <c r="BO324" s="384">
        <f t="shared" si="350"/>
        <v>-9.3132257461547852E-10</v>
      </c>
      <c r="BP324" s="384">
        <f t="shared" si="350"/>
        <v>12300001.5</v>
      </c>
      <c r="BQ324" s="384">
        <f t="shared" si="350"/>
        <v>0</v>
      </c>
      <c r="BR324" s="384">
        <f t="shared" si="350"/>
        <v>0</v>
      </c>
      <c r="BS324" s="384">
        <f t="shared" si="350"/>
        <v>0</v>
      </c>
      <c r="BT324" s="384">
        <f t="shared" si="350"/>
        <v>0</v>
      </c>
      <c r="BU324" s="384">
        <f t="shared" si="350"/>
        <v>0</v>
      </c>
      <c r="BV324" s="384">
        <f t="shared" si="350"/>
        <v>12300001.499999993</v>
      </c>
    </row>
    <row r="325" spans="1:74" ht="19.149999999999999" customHeight="1" x14ac:dyDescent="0.25">
      <c r="A325" s="433"/>
      <c r="B325" s="434" t="s">
        <v>286</v>
      </c>
      <c r="C325" s="437">
        <v>296</v>
      </c>
      <c r="D325" s="405" t="s">
        <v>328</v>
      </c>
      <c r="E325" s="384">
        <f>E308</f>
        <v>226376.95</v>
      </c>
      <c r="F325" s="384">
        <f t="shared" si="349"/>
        <v>0</v>
      </c>
      <c r="G325" s="384">
        <f t="shared" si="349"/>
        <v>0</v>
      </c>
      <c r="H325" s="384">
        <f t="shared" si="349"/>
        <v>0</v>
      </c>
      <c r="I325" s="384">
        <f t="shared" si="349"/>
        <v>226376.95</v>
      </c>
      <c r="J325" s="384">
        <f t="shared" si="349"/>
        <v>0</v>
      </c>
      <c r="K325" s="384">
        <f t="shared" si="349"/>
        <v>0</v>
      </c>
      <c r="L325" s="384">
        <f t="shared" si="349"/>
        <v>0</v>
      </c>
      <c r="M325" s="384">
        <f t="shared" si="349"/>
        <v>0</v>
      </c>
      <c r="N325" s="384">
        <f t="shared" si="349"/>
        <v>0</v>
      </c>
      <c r="O325" s="384">
        <f t="shared" si="349"/>
        <v>0</v>
      </c>
      <c r="P325" s="384">
        <f t="shared" si="349"/>
        <v>0</v>
      </c>
      <c r="Q325" s="384">
        <f t="shared" si="349"/>
        <v>0</v>
      </c>
      <c r="R325" s="384">
        <f t="shared" si="349"/>
        <v>0</v>
      </c>
      <c r="S325" s="384">
        <f t="shared" si="349"/>
        <v>0</v>
      </c>
      <c r="T325" s="384">
        <f t="shared" si="349"/>
        <v>0</v>
      </c>
      <c r="U325" s="384">
        <f t="shared" si="349"/>
        <v>0</v>
      </c>
      <c r="V325" s="384">
        <f t="shared" si="349"/>
        <v>0</v>
      </c>
      <c r="W325" s="384">
        <f t="shared" si="349"/>
        <v>0</v>
      </c>
      <c r="X325" s="384">
        <f t="shared" si="349"/>
        <v>0</v>
      </c>
      <c r="Y325" s="384">
        <f t="shared" si="349"/>
        <v>0</v>
      </c>
      <c r="Z325" s="384">
        <f t="shared" si="349"/>
        <v>0</v>
      </c>
      <c r="AA325" s="384">
        <f t="shared" si="349"/>
        <v>0</v>
      </c>
      <c r="AB325" s="384">
        <f t="shared" si="349"/>
        <v>0</v>
      </c>
      <c r="AC325" s="384">
        <f t="shared" si="349"/>
        <v>0</v>
      </c>
      <c r="AD325" s="384">
        <f t="shared" si="349"/>
        <v>0</v>
      </c>
      <c r="AE325" s="384">
        <f t="shared" si="349"/>
        <v>0</v>
      </c>
      <c r="AF325" s="384">
        <f t="shared" si="349"/>
        <v>0</v>
      </c>
      <c r="AG325" s="384">
        <f t="shared" si="349"/>
        <v>0</v>
      </c>
      <c r="AH325" s="384">
        <f t="shared" si="349"/>
        <v>0</v>
      </c>
      <c r="AI325" s="384">
        <f t="shared" si="349"/>
        <v>0</v>
      </c>
      <c r="AJ325" s="384">
        <f t="shared" si="349"/>
        <v>0</v>
      </c>
      <c r="AK325" s="384">
        <f t="shared" si="349"/>
        <v>0</v>
      </c>
      <c r="AL325" s="384">
        <f t="shared" si="349"/>
        <v>0</v>
      </c>
      <c r="AM325" s="384">
        <f t="shared" si="349"/>
        <v>0</v>
      </c>
      <c r="AN325" s="384">
        <f t="shared" si="349"/>
        <v>0</v>
      </c>
      <c r="AO325" s="384">
        <f t="shared" si="349"/>
        <v>0</v>
      </c>
      <c r="AP325" s="384">
        <f t="shared" si="349"/>
        <v>0</v>
      </c>
      <c r="AQ325" s="384">
        <f t="shared" si="349"/>
        <v>0</v>
      </c>
      <c r="AR325" s="384">
        <f t="shared" si="349"/>
        <v>0</v>
      </c>
      <c r="AS325" s="384">
        <f t="shared" si="349"/>
        <v>226376.95</v>
      </c>
      <c r="AT325" s="384">
        <f t="shared" si="349"/>
        <v>0</v>
      </c>
      <c r="AU325" s="384">
        <f t="shared" si="349"/>
        <v>0</v>
      </c>
      <c r="AV325" s="384">
        <f t="shared" si="349"/>
        <v>0</v>
      </c>
      <c r="AW325" s="384">
        <f t="shared" si="349"/>
        <v>226376.95</v>
      </c>
      <c r="AX325" s="384">
        <f t="shared" si="349"/>
        <v>0</v>
      </c>
      <c r="AY325" s="384">
        <f t="shared" si="349"/>
        <v>0</v>
      </c>
      <c r="AZ325" s="384">
        <f t="shared" si="349"/>
        <v>0</v>
      </c>
      <c r="BA325" s="384">
        <f t="shared" si="349"/>
        <v>0</v>
      </c>
      <c r="BB325" s="384">
        <f t="shared" si="349"/>
        <v>0</v>
      </c>
      <c r="BC325" s="384">
        <f t="shared" si="349"/>
        <v>0</v>
      </c>
      <c r="BD325" s="384" t="str">
        <f>BD308</f>
        <v>Х</v>
      </c>
      <c r="BE325" s="384" t="str">
        <f>BE308</f>
        <v>Х</v>
      </c>
      <c r="BF325" s="384" t="str">
        <f t="shared" si="351"/>
        <v>Х</v>
      </c>
      <c r="BG325" s="384">
        <f>BG308</f>
        <v>0</v>
      </c>
      <c r="BH325" s="384">
        <f t="shared" si="350"/>
        <v>0</v>
      </c>
      <c r="BI325" s="384">
        <f t="shared" si="350"/>
        <v>0</v>
      </c>
      <c r="BJ325" s="384">
        <f t="shared" si="350"/>
        <v>0</v>
      </c>
      <c r="BK325" s="384">
        <f t="shared" si="350"/>
        <v>0</v>
      </c>
      <c r="BL325" s="384">
        <f t="shared" si="350"/>
        <v>0</v>
      </c>
      <c r="BM325" s="384">
        <f t="shared" si="350"/>
        <v>0</v>
      </c>
      <c r="BN325" s="384">
        <f t="shared" si="350"/>
        <v>0</v>
      </c>
      <c r="BO325" s="384">
        <f t="shared" si="350"/>
        <v>0</v>
      </c>
      <c r="BP325" s="384">
        <f t="shared" si="350"/>
        <v>0</v>
      </c>
      <c r="BQ325" s="384">
        <f t="shared" si="350"/>
        <v>0</v>
      </c>
      <c r="BR325" s="384">
        <f t="shared" si="350"/>
        <v>0</v>
      </c>
      <c r="BS325" s="384">
        <f t="shared" si="350"/>
        <v>0</v>
      </c>
      <c r="BT325" s="384">
        <f t="shared" si="350"/>
        <v>0</v>
      </c>
      <c r="BU325" s="384">
        <f t="shared" si="350"/>
        <v>0</v>
      </c>
      <c r="BV325" s="384">
        <f t="shared" si="350"/>
        <v>0</v>
      </c>
    </row>
    <row r="326" spans="1:74" ht="20.45" customHeight="1" x14ac:dyDescent="0.25">
      <c r="A326" s="372" t="s">
        <v>472</v>
      </c>
      <c r="B326" s="372"/>
      <c r="C326" s="372"/>
      <c r="D326" s="405" t="s">
        <v>328</v>
      </c>
      <c r="E326" s="384" t="s">
        <v>328</v>
      </c>
      <c r="F326" s="384" t="s">
        <v>328</v>
      </c>
      <c r="G326" s="384" t="s">
        <v>328</v>
      </c>
      <c r="H326" s="384" t="s">
        <v>328</v>
      </c>
      <c r="I326" s="384" t="s">
        <v>328</v>
      </c>
      <c r="J326" s="384" t="s">
        <v>328</v>
      </c>
      <c r="K326" s="384" t="s">
        <v>328</v>
      </c>
      <c r="L326" s="384" t="s">
        <v>328</v>
      </c>
      <c r="M326" s="384" t="s">
        <v>328</v>
      </c>
      <c r="N326" s="384" t="s">
        <v>328</v>
      </c>
      <c r="O326" s="384" t="s">
        <v>328</v>
      </c>
      <c r="P326" s="384" t="s">
        <v>328</v>
      </c>
      <c r="Q326" s="384" t="s">
        <v>328</v>
      </c>
      <c r="R326" s="384" t="s">
        <v>328</v>
      </c>
      <c r="S326" s="384" t="s">
        <v>328</v>
      </c>
      <c r="T326" s="384" t="s">
        <v>328</v>
      </c>
      <c r="U326" s="384" t="s">
        <v>328</v>
      </c>
      <c r="V326" s="384" t="s">
        <v>328</v>
      </c>
      <c r="W326" s="384" t="s">
        <v>328</v>
      </c>
      <c r="X326" s="384" t="s">
        <v>328</v>
      </c>
      <c r="Y326" s="384" t="s">
        <v>328</v>
      </c>
      <c r="Z326" s="384" t="s">
        <v>328</v>
      </c>
      <c r="AA326" s="384" t="s">
        <v>328</v>
      </c>
      <c r="AB326" s="384" t="s">
        <v>328</v>
      </c>
      <c r="AC326" s="384" t="s">
        <v>328</v>
      </c>
      <c r="AD326" s="384" t="s">
        <v>328</v>
      </c>
      <c r="AE326" s="384" t="s">
        <v>328</v>
      </c>
      <c r="AF326" s="384" t="s">
        <v>328</v>
      </c>
      <c r="AG326" s="384" t="s">
        <v>328</v>
      </c>
      <c r="AH326" s="384" t="s">
        <v>328</v>
      </c>
      <c r="AI326" s="384" t="s">
        <v>328</v>
      </c>
      <c r="AJ326" s="384" t="s">
        <v>328</v>
      </c>
      <c r="AK326" s="384" t="s">
        <v>328</v>
      </c>
      <c r="AL326" s="384" t="s">
        <v>328</v>
      </c>
      <c r="AM326" s="384" t="s">
        <v>328</v>
      </c>
      <c r="AN326" s="384" t="s">
        <v>328</v>
      </c>
      <c r="AO326" s="384" t="s">
        <v>328</v>
      </c>
      <c r="AP326" s="384" t="s">
        <v>328</v>
      </c>
      <c r="AQ326" s="384" t="s">
        <v>328</v>
      </c>
      <c r="AR326" s="384" t="s">
        <v>328</v>
      </c>
      <c r="AS326" s="384" t="s">
        <v>328</v>
      </c>
      <c r="AT326" s="384" t="s">
        <v>328</v>
      </c>
      <c r="AU326" s="384" t="s">
        <v>328</v>
      </c>
      <c r="AV326" s="384" t="s">
        <v>328</v>
      </c>
      <c r="AW326" s="384" t="s">
        <v>328</v>
      </c>
      <c r="AX326" s="384" t="s">
        <v>328</v>
      </c>
      <c r="AY326" s="384" t="s">
        <v>328</v>
      </c>
      <c r="AZ326" s="384" t="s">
        <v>328</v>
      </c>
      <c r="BA326" s="384" t="s">
        <v>328</v>
      </c>
      <c r="BB326" s="384" t="s">
        <v>328</v>
      </c>
      <c r="BC326" s="384" t="s">
        <v>328</v>
      </c>
      <c r="BD326" s="384" t="s">
        <v>328</v>
      </c>
      <c r="BE326" s="384" t="s">
        <v>328</v>
      </c>
      <c r="BF326" s="384" t="s">
        <v>328</v>
      </c>
      <c r="BG326" s="384" t="s">
        <v>328</v>
      </c>
      <c r="BH326" s="384" t="s">
        <v>328</v>
      </c>
      <c r="BI326" s="384" t="s">
        <v>328</v>
      </c>
      <c r="BJ326" s="384" t="s">
        <v>328</v>
      </c>
      <c r="BK326" s="384" t="s">
        <v>328</v>
      </c>
      <c r="BL326" s="384" t="s">
        <v>328</v>
      </c>
      <c r="BM326" s="384" t="s">
        <v>328</v>
      </c>
      <c r="BN326" s="384" t="s">
        <v>328</v>
      </c>
      <c r="BO326" s="384" t="s">
        <v>328</v>
      </c>
      <c r="BP326" s="386" t="s">
        <v>328</v>
      </c>
      <c r="BQ326" s="384" t="s">
        <v>328</v>
      </c>
      <c r="BR326" s="384" t="s">
        <v>328</v>
      </c>
      <c r="BS326" s="384" t="s">
        <v>328</v>
      </c>
      <c r="BT326" s="384" t="s">
        <v>328</v>
      </c>
      <c r="BU326" s="384" t="s">
        <v>328</v>
      </c>
      <c r="BV326" s="384" t="s">
        <v>328</v>
      </c>
    </row>
    <row r="327" spans="1:74" ht="20.45" customHeight="1" x14ac:dyDescent="0.25">
      <c r="A327" s="438" t="s">
        <v>408</v>
      </c>
      <c r="B327" s="438"/>
      <c r="C327" s="374"/>
      <c r="D327" s="405" t="s">
        <v>328</v>
      </c>
      <c r="E327" s="384" t="str">
        <f t="shared" ref="E327:AF327" si="352">E328</f>
        <v>Х</v>
      </c>
      <c r="F327" s="384" t="str">
        <f t="shared" si="352"/>
        <v>Х</v>
      </c>
      <c r="G327" s="384" t="str">
        <f t="shared" si="352"/>
        <v>Х</v>
      </c>
      <c r="H327" s="384" t="str">
        <f t="shared" si="352"/>
        <v>Х</v>
      </c>
      <c r="I327" s="384" t="str">
        <f t="shared" si="352"/>
        <v>Х</v>
      </c>
      <c r="J327" s="384" t="str">
        <f t="shared" si="352"/>
        <v>Х</v>
      </c>
      <c r="K327" s="384" t="str">
        <f t="shared" si="352"/>
        <v>Х</v>
      </c>
      <c r="L327" s="384" t="str">
        <f t="shared" si="352"/>
        <v>Х</v>
      </c>
      <c r="M327" s="384" t="str">
        <f t="shared" si="352"/>
        <v>Х</v>
      </c>
      <c r="N327" s="384" t="str">
        <f t="shared" si="352"/>
        <v>Х</v>
      </c>
      <c r="O327" s="384" t="str">
        <f t="shared" si="352"/>
        <v>Х</v>
      </c>
      <c r="P327" s="384" t="str">
        <f t="shared" si="352"/>
        <v>Х</v>
      </c>
      <c r="Q327" s="384" t="str">
        <f t="shared" si="352"/>
        <v>Х</v>
      </c>
      <c r="R327" s="384" t="str">
        <f t="shared" si="352"/>
        <v>Х</v>
      </c>
      <c r="S327" s="384" t="str">
        <f t="shared" si="352"/>
        <v>Х</v>
      </c>
      <c r="T327" s="384" t="str">
        <f t="shared" si="352"/>
        <v>Х</v>
      </c>
      <c r="U327" s="384" t="str">
        <f t="shared" si="352"/>
        <v>Х</v>
      </c>
      <c r="V327" s="384" t="str">
        <f t="shared" si="352"/>
        <v>Х</v>
      </c>
      <c r="W327" s="384" t="str">
        <f t="shared" si="352"/>
        <v>Х</v>
      </c>
      <c r="X327" s="384" t="str">
        <f t="shared" si="352"/>
        <v>Х</v>
      </c>
      <c r="Y327" s="384" t="str">
        <f t="shared" si="352"/>
        <v>Х</v>
      </c>
      <c r="Z327" s="384" t="str">
        <f t="shared" si="352"/>
        <v>Х</v>
      </c>
      <c r="AA327" s="384" t="str">
        <f t="shared" si="352"/>
        <v>Х</v>
      </c>
      <c r="AB327" s="384" t="str">
        <f t="shared" si="352"/>
        <v>Х</v>
      </c>
      <c r="AC327" s="384" t="str">
        <f t="shared" si="352"/>
        <v>Х</v>
      </c>
      <c r="AD327" s="384" t="str">
        <f t="shared" si="352"/>
        <v>Х</v>
      </c>
      <c r="AE327" s="384" t="str">
        <f t="shared" si="352"/>
        <v>Х</v>
      </c>
      <c r="AF327" s="384" t="str">
        <f t="shared" si="352"/>
        <v>Х</v>
      </c>
      <c r="AG327" s="384" t="str">
        <f>AG328</f>
        <v>Х</v>
      </c>
      <c r="AH327" s="384" t="str">
        <f t="shared" ref="AH327:BV327" si="353">AH328</f>
        <v>Х</v>
      </c>
      <c r="AI327" s="384" t="str">
        <f t="shared" si="353"/>
        <v>Х</v>
      </c>
      <c r="AJ327" s="384" t="str">
        <f t="shared" si="353"/>
        <v>Х</v>
      </c>
      <c r="AK327" s="384" t="str">
        <f t="shared" si="353"/>
        <v>Х</v>
      </c>
      <c r="AL327" s="384" t="str">
        <f t="shared" si="353"/>
        <v>Х</v>
      </c>
      <c r="AM327" s="384" t="str">
        <f t="shared" si="353"/>
        <v>Х</v>
      </c>
      <c r="AN327" s="384" t="s">
        <v>328</v>
      </c>
      <c r="AO327" s="384" t="s">
        <v>328</v>
      </c>
      <c r="AP327" s="384" t="s">
        <v>328</v>
      </c>
      <c r="AQ327" s="384" t="s">
        <v>328</v>
      </c>
      <c r="AR327" s="384" t="s">
        <v>328</v>
      </c>
      <c r="AS327" s="384" t="s">
        <v>328</v>
      </c>
      <c r="AT327" s="384" t="s">
        <v>328</v>
      </c>
      <c r="AU327" s="384" t="s">
        <v>328</v>
      </c>
      <c r="AV327" s="384" t="s">
        <v>328</v>
      </c>
      <c r="AW327" s="384" t="s">
        <v>328</v>
      </c>
      <c r="AX327" s="384" t="str">
        <f t="shared" si="353"/>
        <v>Х</v>
      </c>
      <c r="AY327" s="384" t="str">
        <f t="shared" si="353"/>
        <v>Х</v>
      </c>
      <c r="AZ327" s="384" t="str">
        <f t="shared" si="353"/>
        <v>Х</v>
      </c>
      <c r="BA327" s="384" t="str">
        <f t="shared" si="353"/>
        <v>Х</v>
      </c>
      <c r="BB327" s="384" t="str">
        <f t="shared" si="353"/>
        <v>Х</v>
      </c>
      <c r="BC327" s="384" t="str">
        <f t="shared" si="353"/>
        <v>Х</v>
      </c>
      <c r="BD327" s="384" t="str">
        <f t="shared" si="353"/>
        <v>Х</v>
      </c>
      <c r="BE327" s="384" t="str">
        <f t="shared" si="353"/>
        <v>Х</v>
      </c>
      <c r="BF327" s="384" t="s">
        <v>328</v>
      </c>
      <c r="BG327" s="384">
        <f>BG328+BG329</f>
        <v>0</v>
      </c>
      <c r="BH327" s="384">
        <f t="shared" ref="BH327:BK327" si="354">BH328+BH329</f>
        <v>0</v>
      </c>
      <c r="BI327" s="384">
        <f t="shared" si="354"/>
        <v>0</v>
      </c>
      <c r="BJ327" s="384">
        <f t="shared" si="354"/>
        <v>0</v>
      </c>
      <c r="BK327" s="384">
        <f t="shared" si="354"/>
        <v>0</v>
      </c>
      <c r="BL327" s="384" t="str">
        <f t="shared" si="353"/>
        <v>Х</v>
      </c>
      <c r="BM327" s="384" t="str">
        <f t="shared" si="353"/>
        <v>Х</v>
      </c>
      <c r="BN327" s="384" t="str">
        <f t="shared" si="353"/>
        <v>Х</v>
      </c>
      <c r="BO327" s="384" t="str">
        <f t="shared" si="353"/>
        <v>Х</v>
      </c>
      <c r="BP327" s="384" t="str">
        <f t="shared" si="353"/>
        <v>Х</v>
      </c>
      <c r="BQ327" s="384" t="str">
        <f t="shared" si="353"/>
        <v>Х</v>
      </c>
      <c r="BR327" s="384" t="str">
        <f t="shared" si="353"/>
        <v>Х</v>
      </c>
      <c r="BS327" s="384" t="str">
        <f t="shared" si="353"/>
        <v>Х</v>
      </c>
      <c r="BT327" s="384" t="str">
        <f t="shared" si="353"/>
        <v>Х</v>
      </c>
      <c r="BU327" s="384" t="str">
        <f t="shared" si="353"/>
        <v>Х</v>
      </c>
      <c r="BV327" s="384" t="str">
        <f t="shared" si="353"/>
        <v>Х</v>
      </c>
    </row>
    <row r="328" spans="1:74" ht="20.45" customHeight="1" x14ac:dyDescent="0.25">
      <c r="A328" s="408" t="s">
        <v>193</v>
      </c>
      <c r="B328" s="409"/>
      <c r="C328" s="374">
        <v>226</v>
      </c>
      <c r="D328" s="405" t="s">
        <v>328</v>
      </c>
      <c r="E328" s="405" t="s">
        <v>328</v>
      </c>
      <c r="F328" s="405" t="s">
        <v>328</v>
      </c>
      <c r="G328" s="405" t="s">
        <v>328</v>
      </c>
      <c r="H328" s="405" t="s">
        <v>328</v>
      </c>
      <c r="I328" s="405" t="s">
        <v>328</v>
      </c>
      <c r="J328" s="405" t="s">
        <v>328</v>
      </c>
      <c r="K328" s="405" t="s">
        <v>328</v>
      </c>
      <c r="L328" s="405" t="s">
        <v>328</v>
      </c>
      <c r="M328" s="405" t="s">
        <v>328</v>
      </c>
      <c r="N328" s="405" t="s">
        <v>328</v>
      </c>
      <c r="O328" s="405" t="s">
        <v>328</v>
      </c>
      <c r="P328" s="405" t="s">
        <v>328</v>
      </c>
      <c r="Q328" s="405" t="s">
        <v>328</v>
      </c>
      <c r="R328" s="405" t="s">
        <v>328</v>
      </c>
      <c r="S328" s="405" t="s">
        <v>328</v>
      </c>
      <c r="T328" s="405" t="s">
        <v>328</v>
      </c>
      <c r="U328" s="405" t="s">
        <v>328</v>
      </c>
      <c r="V328" s="405" t="s">
        <v>328</v>
      </c>
      <c r="W328" s="405" t="s">
        <v>328</v>
      </c>
      <c r="X328" s="405" t="s">
        <v>328</v>
      </c>
      <c r="Y328" s="405" t="s">
        <v>328</v>
      </c>
      <c r="Z328" s="405" t="s">
        <v>328</v>
      </c>
      <c r="AA328" s="405" t="s">
        <v>328</v>
      </c>
      <c r="AB328" s="405" t="s">
        <v>328</v>
      </c>
      <c r="AC328" s="405" t="s">
        <v>328</v>
      </c>
      <c r="AD328" s="405" t="s">
        <v>328</v>
      </c>
      <c r="AE328" s="405" t="s">
        <v>328</v>
      </c>
      <c r="AF328" s="405" t="s">
        <v>328</v>
      </c>
      <c r="AG328" s="405" t="s">
        <v>328</v>
      </c>
      <c r="AH328" s="405" t="s">
        <v>328</v>
      </c>
      <c r="AI328" s="405" t="s">
        <v>328</v>
      </c>
      <c r="AJ328" s="405" t="s">
        <v>328</v>
      </c>
      <c r="AK328" s="405" t="s">
        <v>328</v>
      </c>
      <c r="AL328" s="405" t="s">
        <v>328</v>
      </c>
      <c r="AM328" s="405" t="s">
        <v>328</v>
      </c>
      <c r="AN328" s="405" t="s">
        <v>328</v>
      </c>
      <c r="AO328" s="405" t="s">
        <v>328</v>
      </c>
      <c r="AP328" s="405" t="s">
        <v>328</v>
      </c>
      <c r="AQ328" s="405" t="s">
        <v>328</v>
      </c>
      <c r="AR328" s="405" t="s">
        <v>328</v>
      </c>
      <c r="AS328" s="405" t="s">
        <v>328</v>
      </c>
      <c r="AT328" s="405" t="s">
        <v>328</v>
      </c>
      <c r="AU328" s="405" t="s">
        <v>328</v>
      </c>
      <c r="AV328" s="405" t="s">
        <v>328</v>
      </c>
      <c r="AW328" s="405" t="s">
        <v>328</v>
      </c>
      <c r="AX328" s="405" t="s">
        <v>328</v>
      </c>
      <c r="AY328" s="405" t="s">
        <v>328</v>
      </c>
      <c r="AZ328" s="405" t="s">
        <v>328</v>
      </c>
      <c r="BA328" s="405" t="s">
        <v>328</v>
      </c>
      <c r="BB328" s="405" t="s">
        <v>328</v>
      </c>
      <c r="BC328" s="405" t="s">
        <v>328</v>
      </c>
      <c r="BD328" s="405" t="s">
        <v>328</v>
      </c>
      <c r="BE328" s="405" t="s">
        <v>328</v>
      </c>
      <c r="BF328" s="405" t="s">
        <v>328</v>
      </c>
      <c r="BG328" s="384">
        <f>BH328+BI328+BJ328+BK328</f>
        <v>0</v>
      </c>
      <c r="BH328" s="384">
        <v>0</v>
      </c>
      <c r="BI328" s="384">
        <v>0</v>
      </c>
      <c r="BJ328" s="384">
        <v>0</v>
      </c>
      <c r="BK328" s="384">
        <v>0</v>
      </c>
      <c r="BL328" s="405" t="s">
        <v>328</v>
      </c>
      <c r="BM328" s="405" t="s">
        <v>328</v>
      </c>
      <c r="BN328" s="405" t="s">
        <v>328</v>
      </c>
      <c r="BO328" s="405" t="s">
        <v>328</v>
      </c>
      <c r="BP328" s="405" t="s">
        <v>328</v>
      </c>
      <c r="BQ328" s="405" t="s">
        <v>328</v>
      </c>
      <c r="BR328" s="405" t="s">
        <v>328</v>
      </c>
      <c r="BS328" s="405" t="s">
        <v>328</v>
      </c>
      <c r="BT328" s="405" t="s">
        <v>328</v>
      </c>
      <c r="BU328" s="405" t="s">
        <v>328</v>
      </c>
      <c r="BV328" s="405" t="s">
        <v>328</v>
      </c>
    </row>
    <row r="329" spans="1:74" ht="20.45" customHeight="1" x14ac:dyDescent="0.25">
      <c r="A329" s="433"/>
      <c r="B329" s="434" t="s">
        <v>195</v>
      </c>
      <c r="C329" s="374">
        <v>226</v>
      </c>
      <c r="D329" s="405" t="s">
        <v>328</v>
      </c>
      <c r="E329" s="405" t="s">
        <v>328</v>
      </c>
      <c r="F329" s="405" t="s">
        <v>328</v>
      </c>
      <c r="G329" s="405" t="s">
        <v>328</v>
      </c>
      <c r="H329" s="405" t="s">
        <v>328</v>
      </c>
      <c r="I329" s="405" t="s">
        <v>328</v>
      </c>
      <c r="J329" s="405" t="s">
        <v>328</v>
      </c>
      <c r="K329" s="405" t="s">
        <v>328</v>
      </c>
      <c r="L329" s="405" t="s">
        <v>328</v>
      </c>
      <c r="M329" s="405" t="s">
        <v>328</v>
      </c>
      <c r="N329" s="405" t="s">
        <v>328</v>
      </c>
      <c r="O329" s="405" t="s">
        <v>328</v>
      </c>
      <c r="P329" s="405" t="s">
        <v>328</v>
      </c>
      <c r="Q329" s="405" t="s">
        <v>328</v>
      </c>
      <c r="R329" s="405" t="s">
        <v>328</v>
      </c>
      <c r="S329" s="405" t="s">
        <v>328</v>
      </c>
      <c r="T329" s="405" t="s">
        <v>328</v>
      </c>
      <c r="U329" s="405" t="s">
        <v>328</v>
      </c>
      <c r="V329" s="405" t="s">
        <v>328</v>
      </c>
      <c r="W329" s="405" t="s">
        <v>328</v>
      </c>
      <c r="X329" s="405" t="s">
        <v>328</v>
      </c>
      <c r="Y329" s="405" t="s">
        <v>328</v>
      </c>
      <c r="Z329" s="405" t="s">
        <v>328</v>
      </c>
      <c r="AA329" s="405" t="s">
        <v>328</v>
      </c>
      <c r="AB329" s="405" t="s">
        <v>328</v>
      </c>
      <c r="AC329" s="405" t="s">
        <v>328</v>
      </c>
      <c r="AD329" s="405" t="s">
        <v>328</v>
      </c>
      <c r="AE329" s="405" t="s">
        <v>328</v>
      </c>
      <c r="AF329" s="405" t="s">
        <v>328</v>
      </c>
      <c r="AG329" s="405" t="s">
        <v>328</v>
      </c>
      <c r="AH329" s="405" t="s">
        <v>328</v>
      </c>
      <c r="AI329" s="405" t="s">
        <v>328</v>
      </c>
      <c r="AJ329" s="405" t="s">
        <v>328</v>
      </c>
      <c r="AK329" s="405" t="s">
        <v>328</v>
      </c>
      <c r="AL329" s="405" t="s">
        <v>328</v>
      </c>
      <c r="AM329" s="405" t="s">
        <v>328</v>
      </c>
      <c r="AN329" s="405"/>
      <c r="AO329" s="405"/>
      <c r="AP329" s="405"/>
      <c r="AQ329" s="405"/>
      <c r="AR329" s="405"/>
      <c r="AS329" s="405"/>
      <c r="AT329" s="405"/>
      <c r="AU329" s="405"/>
      <c r="AV329" s="405"/>
      <c r="AW329" s="405"/>
      <c r="AX329" s="405"/>
      <c r="AY329" s="405"/>
      <c r="AZ329" s="405"/>
      <c r="BA329" s="405"/>
      <c r="BB329" s="405"/>
      <c r="BC329" s="405" t="s">
        <v>328</v>
      </c>
      <c r="BD329" s="405" t="s">
        <v>328</v>
      </c>
      <c r="BE329" s="405" t="s">
        <v>328</v>
      </c>
      <c r="BF329" s="405" t="s">
        <v>328</v>
      </c>
      <c r="BG329" s="384">
        <f>BH329+BI329+BJ329+BK329</f>
        <v>0</v>
      </c>
      <c r="BH329" s="384">
        <v>0</v>
      </c>
      <c r="BI329" s="384">
        <v>0</v>
      </c>
      <c r="BJ329" s="384">
        <v>0</v>
      </c>
      <c r="BK329" s="384">
        <v>0</v>
      </c>
      <c r="BL329" s="405"/>
      <c r="BM329" s="405"/>
      <c r="BN329" s="405"/>
      <c r="BO329" s="405"/>
      <c r="BP329" s="405"/>
      <c r="BQ329" s="405"/>
      <c r="BR329" s="405"/>
      <c r="BS329" s="405"/>
      <c r="BT329" s="405"/>
      <c r="BU329" s="405"/>
      <c r="BV329" s="405"/>
    </row>
    <row r="330" spans="1:74" x14ac:dyDescent="0.25">
      <c r="A330" s="439" t="s">
        <v>660</v>
      </c>
      <c r="B330" s="439"/>
      <c r="C330" s="440" t="s">
        <v>328</v>
      </c>
      <c r="D330" s="440" t="s">
        <v>328</v>
      </c>
      <c r="E330" s="440" t="s">
        <v>328</v>
      </c>
      <c r="F330" s="440" t="s">
        <v>328</v>
      </c>
      <c r="G330" s="440" t="s">
        <v>328</v>
      </c>
      <c r="H330" s="440" t="s">
        <v>328</v>
      </c>
      <c r="I330" s="440" t="s">
        <v>328</v>
      </c>
      <c r="J330" s="440" t="s">
        <v>328</v>
      </c>
      <c r="K330" s="440" t="s">
        <v>328</v>
      </c>
      <c r="L330" s="440" t="s">
        <v>328</v>
      </c>
      <c r="M330" s="440" t="s">
        <v>328</v>
      </c>
      <c r="N330" s="440" t="s">
        <v>328</v>
      </c>
      <c r="O330" s="440" t="s">
        <v>328</v>
      </c>
      <c r="P330" s="440" t="s">
        <v>328</v>
      </c>
      <c r="Q330" s="440" t="s">
        <v>328</v>
      </c>
      <c r="R330" s="440" t="s">
        <v>328</v>
      </c>
      <c r="S330" s="440" t="s">
        <v>328</v>
      </c>
      <c r="T330" s="440" t="s">
        <v>328</v>
      </c>
      <c r="U330" s="440" t="s">
        <v>328</v>
      </c>
      <c r="V330" s="440" t="s">
        <v>328</v>
      </c>
      <c r="W330" s="440" t="s">
        <v>328</v>
      </c>
      <c r="X330" s="440" t="s">
        <v>328</v>
      </c>
      <c r="Y330" s="440" t="s">
        <v>328</v>
      </c>
      <c r="Z330" s="440" t="s">
        <v>328</v>
      </c>
      <c r="AA330" s="440" t="s">
        <v>328</v>
      </c>
      <c r="AB330" s="440" t="s">
        <v>328</v>
      </c>
      <c r="AC330" s="440" t="s">
        <v>328</v>
      </c>
      <c r="AD330" s="440" t="s">
        <v>328</v>
      </c>
      <c r="AE330" s="440" t="s">
        <v>328</v>
      </c>
      <c r="AF330" s="440" t="s">
        <v>328</v>
      </c>
      <c r="AG330" s="440" t="s">
        <v>328</v>
      </c>
      <c r="AH330" s="440" t="s">
        <v>328</v>
      </c>
      <c r="AI330" s="440" t="s">
        <v>328</v>
      </c>
      <c r="AJ330" s="440" t="s">
        <v>328</v>
      </c>
      <c r="AK330" s="440" t="s">
        <v>328</v>
      </c>
      <c r="AL330" s="440" t="s">
        <v>328</v>
      </c>
      <c r="AM330" s="440" t="s">
        <v>328</v>
      </c>
      <c r="AN330" s="440" t="s">
        <v>328</v>
      </c>
      <c r="AO330" s="440" t="s">
        <v>328</v>
      </c>
      <c r="AP330" s="440" t="s">
        <v>328</v>
      </c>
      <c r="AQ330" s="440" t="s">
        <v>328</v>
      </c>
      <c r="AR330" s="440" t="s">
        <v>328</v>
      </c>
      <c r="AS330" s="440" t="s">
        <v>328</v>
      </c>
      <c r="AT330" s="440" t="s">
        <v>328</v>
      </c>
      <c r="AU330" s="440" t="s">
        <v>328</v>
      </c>
      <c r="AV330" s="440" t="s">
        <v>328</v>
      </c>
      <c r="AW330" s="440" t="s">
        <v>328</v>
      </c>
      <c r="AX330" s="440" t="s">
        <v>328</v>
      </c>
      <c r="AY330" s="440" t="s">
        <v>328</v>
      </c>
      <c r="AZ330" s="440" t="s">
        <v>328</v>
      </c>
      <c r="BA330" s="440" t="s">
        <v>328</v>
      </c>
      <c r="BB330" s="440" t="s">
        <v>328</v>
      </c>
      <c r="BC330" s="440" t="s">
        <v>328</v>
      </c>
      <c r="BD330" s="440" t="s">
        <v>328</v>
      </c>
      <c r="BE330" s="440" t="s">
        <v>328</v>
      </c>
      <c r="BF330" s="440" t="s">
        <v>328</v>
      </c>
      <c r="BG330" s="441">
        <f>BG309+BG327</f>
        <v>0</v>
      </c>
      <c r="BH330" s="441">
        <f>BH309+BH327</f>
        <v>0</v>
      </c>
      <c r="BI330" s="441">
        <f>BI309+BI327</f>
        <v>0</v>
      </c>
      <c r="BJ330" s="441">
        <f>BJ309+BJ327</f>
        <v>0</v>
      </c>
      <c r="BK330" s="441">
        <f>BK309+BK327</f>
        <v>0</v>
      </c>
      <c r="BL330" s="440" t="s">
        <v>328</v>
      </c>
      <c r="BM330" s="440" t="s">
        <v>328</v>
      </c>
      <c r="BN330" s="440" t="s">
        <v>328</v>
      </c>
      <c r="BO330" s="440" t="s">
        <v>328</v>
      </c>
      <c r="BP330" s="440" t="s">
        <v>328</v>
      </c>
      <c r="BQ330" s="440" t="s">
        <v>328</v>
      </c>
      <c r="BR330" s="440" t="s">
        <v>328</v>
      </c>
      <c r="BS330" s="440" t="s">
        <v>328</v>
      </c>
      <c r="BT330" s="440" t="s">
        <v>328</v>
      </c>
      <c r="BU330" s="440" t="s">
        <v>328</v>
      </c>
      <c r="BV330" s="440" t="s">
        <v>328</v>
      </c>
    </row>
    <row r="331" spans="1:74" ht="15" x14ac:dyDescent="0.25">
      <c r="A331" s="363"/>
      <c r="B331" s="363"/>
      <c r="C331" s="363"/>
      <c r="D331" s="363"/>
      <c r="E331" s="442"/>
      <c r="F331" s="442"/>
      <c r="G331" s="442"/>
      <c r="H331" s="442"/>
      <c r="I331" s="442"/>
      <c r="J331" s="442"/>
      <c r="K331" s="442"/>
      <c r="L331" s="442"/>
      <c r="M331" s="442"/>
      <c r="N331" s="442"/>
      <c r="O331" s="442"/>
      <c r="P331" s="442"/>
      <c r="Q331" s="442"/>
      <c r="R331" s="442"/>
      <c r="S331" s="442"/>
      <c r="T331" s="442"/>
      <c r="U331" s="442"/>
      <c r="V331" s="442"/>
      <c r="W331" s="442"/>
      <c r="X331" s="442"/>
      <c r="Y331" s="442"/>
      <c r="Z331" s="442"/>
      <c r="AA331" s="442"/>
      <c r="AB331" s="442"/>
      <c r="AC331" s="442"/>
      <c r="AD331" s="442"/>
      <c r="AE331" s="442"/>
      <c r="AF331" s="442"/>
      <c r="AG331" s="442"/>
      <c r="AH331" s="442"/>
      <c r="AI331" s="442"/>
      <c r="AJ331" s="442"/>
      <c r="AK331" s="442"/>
      <c r="AL331" s="442"/>
      <c r="AM331" s="442"/>
      <c r="AN331" s="442"/>
      <c r="AO331" s="442"/>
      <c r="AP331" s="442"/>
      <c r="AQ331" s="442"/>
      <c r="AR331" s="442"/>
      <c r="AS331" s="442"/>
      <c r="AT331" s="442"/>
      <c r="AU331" s="442"/>
      <c r="AV331" s="442"/>
      <c r="AW331" s="442"/>
      <c r="AX331" s="442"/>
      <c r="AY331" s="442"/>
      <c r="AZ331" s="442"/>
      <c r="BA331" s="442"/>
      <c r="BB331" s="442"/>
      <c r="BC331" s="442"/>
      <c r="BD331" s="442"/>
      <c r="BE331" s="442"/>
      <c r="BF331" s="442"/>
      <c r="BG331" s="442"/>
      <c r="BH331" s="442"/>
      <c r="BI331" s="442"/>
      <c r="BJ331" s="442"/>
      <c r="BK331" s="442"/>
      <c r="BL331" s="442"/>
      <c r="BM331" s="442"/>
      <c r="BN331" s="442"/>
      <c r="BO331" s="442"/>
      <c r="BP331" s="442"/>
      <c r="BQ331" s="442"/>
      <c r="BR331" s="442"/>
      <c r="BS331" s="442"/>
      <c r="BT331" s="442"/>
      <c r="BU331" s="442"/>
      <c r="BV331" s="442"/>
    </row>
    <row r="332" spans="1:74" ht="15" x14ac:dyDescent="0.25">
      <c r="A332" s="363"/>
      <c r="B332" s="363"/>
      <c r="C332" s="363"/>
      <c r="D332" s="363"/>
      <c r="E332" s="442"/>
      <c r="F332" s="442"/>
      <c r="G332" s="442"/>
      <c r="H332" s="442"/>
      <c r="I332" s="442"/>
      <c r="J332" s="442"/>
      <c r="K332" s="442"/>
      <c r="L332" s="442"/>
      <c r="M332" s="442"/>
      <c r="N332" s="442"/>
      <c r="O332" s="442"/>
      <c r="P332" s="442"/>
      <c r="Q332" s="442"/>
      <c r="R332" s="442"/>
      <c r="S332" s="442"/>
      <c r="T332" s="442"/>
      <c r="U332" s="442"/>
      <c r="V332" s="442"/>
      <c r="W332" s="442"/>
      <c r="X332" s="442"/>
      <c r="Y332" s="442"/>
      <c r="Z332" s="442"/>
      <c r="AA332" s="442"/>
      <c r="AB332" s="442"/>
      <c r="AC332" s="442"/>
      <c r="AD332" s="442"/>
      <c r="AE332" s="442"/>
      <c r="AF332" s="442"/>
      <c r="AG332" s="442"/>
      <c r="AH332" s="442"/>
      <c r="AI332" s="442"/>
      <c r="AJ332" s="442"/>
      <c r="AK332" s="442"/>
      <c r="AL332" s="442"/>
      <c r="AM332" s="442"/>
      <c r="AN332" s="442"/>
      <c r="AO332" s="442"/>
      <c r="AP332" s="442"/>
      <c r="AQ332" s="442"/>
      <c r="AR332" s="442"/>
      <c r="AS332" s="442"/>
      <c r="AT332" s="442"/>
      <c r="AU332" s="442"/>
      <c r="AV332" s="442"/>
      <c r="AW332" s="442"/>
      <c r="AX332" s="442"/>
      <c r="AY332" s="442"/>
      <c r="AZ332" s="442"/>
      <c r="BA332" s="442"/>
      <c r="BB332" s="442"/>
      <c r="BC332" s="442"/>
      <c r="BD332" s="442"/>
      <c r="BE332" s="442"/>
      <c r="BF332" s="442"/>
      <c r="BG332" s="442"/>
      <c r="BH332" s="442"/>
      <c r="BI332" s="442"/>
      <c r="BJ332" s="442"/>
      <c r="BK332" s="442"/>
      <c r="BL332" s="442"/>
      <c r="BM332" s="442"/>
      <c r="BN332" s="442"/>
      <c r="BO332" s="442"/>
      <c r="BP332" s="442"/>
      <c r="BQ332" s="442"/>
      <c r="BR332" s="442"/>
      <c r="BS332" s="442"/>
      <c r="BT332" s="442"/>
      <c r="BU332" s="442"/>
      <c r="BV332" s="442"/>
    </row>
    <row r="333" spans="1:74" ht="15" x14ac:dyDescent="0.25">
      <c r="A333" s="363"/>
      <c r="B333" s="363"/>
      <c r="C333" s="363"/>
      <c r="D333" s="363"/>
      <c r="E333" s="363"/>
      <c r="F333" s="363"/>
      <c r="G333" s="363"/>
      <c r="H333" s="363"/>
      <c r="I333" s="363"/>
      <c r="J333" s="363"/>
      <c r="K333" s="363"/>
      <c r="L333" s="363"/>
      <c r="M333" s="363"/>
      <c r="N333" s="363"/>
      <c r="O333" s="363"/>
      <c r="P333" s="363"/>
      <c r="Q333" s="363"/>
      <c r="R333" s="363"/>
      <c r="S333" s="363"/>
      <c r="T333" s="363"/>
      <c r="U333" s="363"/>
      <c r="V333" s="363"/>
      <c r="W333" s="363"/>
      <c r="X333" s="363"/>
      <c r="Y333" s="363"/>
      <c r="Z333" s="363"/>
      <c r="AA333" s="363"/>
      <c r="AB333" s="363"/>
      <c r="AC333" s="363"/>
      <c r="AD333" s="363"/>
      <c r="AE333" s="363"/>
      <c r="AF333" s="363"/>
      <c r="AG333" s="363"/>
      <c r="AH333" s="363"/>
      <c r="AI333" s="363"/>
      <c r="AJ333" s="363"/>
      <c r="AK333" s="363"/>
      <c r="AL333" s="363"/>
      <c r="AM333" s="363"/>
      <c r="AN333" s="363"/>
      <c r="AO333" s="363"/>
      <c r="AP333" s="363"/>
      <c r="AQ333" s="363"/>
      <c r="AR333" s="363"/>
      <c r="AS333" s="363"/>
      <c r="AT333" s="363"/>
      <c r="AU333" s="363"/>
      <c r="AV333" s="363"/>
      <c r="AW333" s="363"/>
      <c r="AX333" s="363"/>
      <c r="AY333" s="363"/>
      <c r="AZ333" s="363"/>
      <c r="BA333" s="363"/>
      <c r="BB333" s="363"/>
      <c r="BC333" s="363"/>
      <c r="BD333" s="363"/>
      <c r="BE333" s="363"/>
      <c r="BF333" s="363"/>
      <c r="BG333" s="363"/>
      <c r="BH333" s="363"/>
      <c r="BI333" s="363"/>
      <c r="BJ333" s="363"/>
      <c r="BK333" s="363"/>
      <c r="BL333" s="363"/>
      <c r="BM333" s="363"/>
      <c r="BN333" s="363"/>
      <c r="BO333" s="363"/>
      <c r="BP333" s="363"/>
      <c r="BQ333" s="363"/>
      <c r="BR333" s="363"/>
      <c r="BS333" s="363"/>
      <c r="BT333" s="363"/>
      <c r="BU333" s="363"/>
      <c r="BV333" s="363"/>
    </row>
    <row r="334" spans="1:74" ht="15" x14ac:dyDescent="0.25">
      <c r="A334" s="363"/>
      <c r="B334" s="363"/>
      <c r="C334" s="363"/>
      <c r="D334" s="363"/>
      <c r="E334" s="363"/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363"/>
      <c r="T334" s="363"/>
      <c r="U334" s="363"/>
      <c r="V334" s="363"/>
      <c r="W334" s="363"/>
      <c r="X334" s="363"/>
      <c r="Y334" s="363"/>
      <c r="Z334" s="363"/>
      <c r="AA334" s="363"/>
      <c r="AB334" s="363"/>
      <c r="AC334" s="363"/>
      <c r="AD334" s="363"/>
      <c r="AE334" s="363"/>
      <c r="AF334" s="363"/>
      <c r="AG334" s="363"/>
      <c r="AH334" s="363"/>
      <c r="AI334" s="363"/>
      <c r="AJ334" s="363"/>
      <c r="AK334" s="363"/>
      <c r="AL334" s="363"/>
      <c r="AM334" s="363"/>
      <c r="AN334" s="363"/>
      <c r="AO334" s="363"/>
      <c r="AP334" s="363"/>
      <c r="AQ334" s="363"/>
      <c r="AR334" s="363"/>
      <c r="AS334" s="363"/>
      <c r="AT334" s="363"/>
      <c r="AU334" s="363"/>
      <c r="AV334" s="363"/>
      <c r="AW334" s="363"/>
      <c r="AX334" s="363"/>
      <c r="AY334" s="363"/>
      <c r="AZ334" s="363"/>
      <c r="BA334" s="363"/>
      <c r="BB334" s="363"/>
      <c r="BC334" s="363"/>
      <c r="BD334" s="363"/>
      <c r="BE334" s="363"/>
      <c r="BF334" s="363"/>
      <c r="BG334" s="363"/>
      <c r="BH334" s="363"/>
      <c r="BI334" s="363"/>
      <c r="BJ334" s="363"/>
      <c r="BK334" s="363"/>
      <c r="BL334" s="363"/>
      <c r="BM334" s="363"/>
      <c r="BN334" s="363"/>
      <c r="BO334" s="363"/>
      <c r="BP334" s="363"/>
      <c r="BQ334" s="363"/>
      <c r="BR334" s="363"/>
      <c r="BS334" s="363"/>
      <c r="BT334" s="363"/>
      <c r="BU334" s="363"/>
      <c r="BV334" s="363"/>
    </row>
    <row r="335" spans="1:74" ht="15" x14ac:dyDescent="0.25">
      <c r="A335" s="363"/>
      <c r="B335" s="363"/>
      <c r="C335" s="363"/>
      <c r="D335" s="363"/>
      <c r="E335" s="363"/>
      <c r="F335" s="363"/>
      <c r="G335" s="363"/>
      <c r="H335" s="363"/>
      <c r="I335" s="363"/>
      <c r="J335" s="363"/>
      <c r="K335" s="363"/>
      <c r="L335" s="363"/>
      <c r="M335" s="363"/>
      <c r="N335" s="363"/>
      <c r="O335" s="363"/>
      <c r="P335" s="363"/>
      <c r="Q335" s="363"/>
      <c r="R335" s="363"/>
      <c r="S335" s="363"/>
      <c r="T335" s="363"/>
      <c r="U335" s="363"/>
      <c r="V335" s="363"/>
      <c r="W335" s="363"/>
      <c r="X335" s="363"/>
      <c r="Y335" s="363"/>
      <c r="Z335" s="363"/>
      <c r="AA335" s="363"/>
      <c r="AB335" s="363"/>
      <c r="AC335" s="363"/>
      <c r="AD335" s="363"/>
      <c r="AE335" s="363"/>
      <c r="AF335" s="363"/>
      <c r="AG335" s="363"/>
      <c r="AH335" s="363"/>
      <c r="AI335" s="363"/>
      <c r="AJ335" s="363"/>
      <c r="AK335" s="363"/>
      <c r="AL335" s="363"/>
      <c r="AM335" s="363"/>
      <c r="AN335" s="363"/>
      <c r="AO335" s="363"/>
      <c r="AP335" s="363"/>
      <c r="AQ335" s="363"/>
      <c r="AR335" s="363"/>
      <c r="AS335" s="363"/>
      <c r="AT335" s="363"/>
      <c r="AU335" s="363"/>
      <c r="AV335" s="363"/>
      <c r="AW335" s="363"/>
      <c r="AX335" s="363"/>
      <c r="AY335" s="363"/>
      <c r="AZ335" s="363"/>
      <c r="BA335" s="363"/>
      <c r="BB335" s="363"/>
      <c r="BC335" s="363"/>
      <c r="BD335" s="363"/>
      <c r="BE335" s="363"/>
      <c r="BF335" s="363"/>
      <c r="BG335" s="363"/>
      <c r="BH335" s="363"/>
      <c r="BI335" s="363"/>
      <c r="BJ335" s="363"/>
      <c r="BK335" s="363"/>
      <c r="BL335" s="363"/>
      <c r="BM335" s="363"/>
      <c r="BN335" s="363"/>
      <c r="BO335" s="363"/>
      <c r="BP335" s="363"/>
      <c r="BQ335" s="363"/>
      <c r="BR335" s="363"/>
      <c r="BS335" s="363"/>
      <c r="BT335" s="363"/>
      <c r="BU335" s="363"/>
      <c r="BV335" s="363"/>
    </row>
    <row r="336" spans="1:74" ht="15" x14ac:dyDescent="0.25">
      <c r="A336" s="363"/>
      <c r="B336" s="363"/>
      <c r="C336" s="363"/>
      <c r="D336" s="363"/>
      <c r="E336" s="363"/>
      <c r="F336" s="363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363"/>
      <c r="T336" s="363"/>
      <c r="U336" s="363"/>
      <c r="V336" s="363"/>
      <c r="W336" s="363"/>
      <c r="X336" s="363"/>
      <c r="Y336" s="363"/>
      <c r="Z336" s="363"/>
      <c r="AA336" s="363"/>
      <c r="AB336" s="363"/>
      <c r="AC336" s="363"/>
      <c r="AD336" s="363"/>
      <c r="AE336" s="363"/>
      <c r="AF336" s="363"/>
      <c r="AG336" s="363"/>
      <c r="AH336" s="363"/>
      <c r="AI336" s="363"/>
      <c r="AJ336" s="363"/>
      <c r="AK336" s="363"/>
      <c r="AL336" s="363"/>
      <c r="AM336" s="363"/>
      <c r="AN336" s="363"/>
      <c r="AO336" s="363"/>
      <c r="AP336" s="363"/>
      <c r="AQ336" s="363"/>
      <c r="AR336" s="363"/>
      <c r="AS336" s="363"/>
      <c r="AT336" s="363"/>
      <c r="AU336" s="363"/>
      <c r="AV336" s="363"/>
      <c r="AW336" s="363"/>
      <c r="AX336" s="363"/>
      <c r="AY336" s="363"/>
      <c r="AZ336" s="363"/>
      <c r="BA336" s="363"/>
      <c r="BB336" s="363"/>
      <c r="BC336" s="363"/>
      <c r="BD336" s="363"/>
      <c r="BE336" s="363"/>
      <c r="BF336" s="363"/>
      <c r="BG336" s="363"/>
      <c r="BH336" s="363"/>
      <c r="BI336" s="363"/>
      <c r="BJ336" s="363"/>
      <c r="BK336" s="363"/>
      <c r="BL336" s="363"/>
      <c r="BM336" s="363"/>
      <c r="BN336" s="363"/>
      <c r="BO336" s="363"/>
      <c r="BP336" s="363"/>
      <c r="BQ336" s="363"/>
      <c r="BR336" s="363"/>
      <c r="BS336" s="363"/>
      <c r="BT336" s="363"/>
      <c r="BU336" s="363"/>
      <c r="BV336" s="363"/>
    </row>
    <row r="337" spans="1:74" ht="15" x14ac:dyDescent="0.25">
      <c r="A337" s="363"/>
      <c r="B337" s="363"/>
      <c r="C337" s="363"/>
      <c r="D337" s="363"/>
      <c r="E337" s="363"/>
      <c r="F337" s="363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363"/>
      <c r="R337" s="363"/>
      <c r="S337" s="363"/>
      <c r="T337" s="363"/>
      <c r="U337" s="363"/>
      <c r="V337" s="363"/>
      <c r="W337" s="363"/>
      <c r="X337" s="363"/>
      <c r="Y337" s="363"/>
      <c r="Z337" s="363"/>
      <c r="AA337" s="363"/>
      <c r="AB337" s="363"/>
      <c r="AC337" s="363"/>
      <c r="AD337" s="363"/>
      <c r="AE337" s="363"/>
      <c r="AF337" s="363"/>
      <c r="AG337" s="363"/>
      <c r="AH337" s="363"/>
      <c r="AI337" s="363"/>
      <c r="AJ337" s="363"/>
      <c r="AK337" s="363"/>
      <c r="AL337" s="363"/>
      <c r="AM337" s="363"/>
      <c r="AN337" s="363"/>
      <c r="AO337" s="363"/>
      <c r="AP337" s="363"/>
      <c r="AQ337" s="363"/>
      <c r="AR337" s="363"/>
      <c r="AS337" s="363"/>
      <c r="AT337" s="363"/>
      <c r="AU337" s="363"/>
      <c r="AV337" s="363"/>
      <c r="AW337" s="363"/>
      <c r="AX337" s="363"/>
      <c r="AY337" s="363"/>
      <c r="AZ337" s="363"/>
      <c r="BA337" s="363"/>
      <c r="BB337" s="363"/>
      <c r="BC337" s="363"/>
      <c r="BD337" s="363"/>
      <c r="BE337" s="363"/>
      <c r="BF337" s="363"/>
      <c r="BG337" s="363"/>
      <c r="BH337" s="363"/>
      <c r="BI337" s="363"/>
      <c r="BJ337" s="363"/>
      <c r="BK337" s="363"/>
      <c r="BL337" s="363"/>
      <c r="BM337" s="363"/>
      <c r="BN337" s="363"/>
      <c r="BO337" s="363"/>
      <c r="BP337" s="363"/>
      <c r="BQ337" s="363"/>
      <c r="BR337" s="363"/>
      <c r="BS337" s="363"/>
      <c r="BT337" s="363"/>
      <c r="BU337" s="363"/>
      <c r="BV337" s="363"/>
    </row>
    <row r="338" spans="1:74" ht="15" x14ac:dyDescent="0.25">
      <c r="A338" s="363"/>
      <c r="B338" s="363"/>
      <c r="C338" s="363"/>
      <c r="D338" s="363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3"/>
      <c r="V338" s="363"/>
      <c r="W338" s="363"/>
      <c r="X338" s="363"/>
      <c r="Y338" s="363"/>
      <c r="Z338" s="363"/>
      <c r="AA338" s="363"/>
      <c r="AB338" s="363"/>
      <c r="AC338" s="363"/>
      <c r="AD338" s="363"/>
      <c r="AE338" s="363"/>
      <c r="AF338" s="363"/>
      <c r="AG338" s="363"/>
      <c r="AH338" s="363"/>
      <c r="AI338" s="363"/>
      <c r="AJ338" s="363"/>
      <c r="AK338" s="363"/>
      <c r="AL338" s="363"/>
      <c r="AM338" s="363"/>
      <c r="AN338" s="363"/>
      <c r="AO338" s="363"/>
      <c r="AP338" s="363"/>
      <c r="AQ338" s="363"/>
      <c r="AR338" s="363"/>
      <c r="AS338" s="363"/>
      <c r="AT338" s="363"/>
      <c r="AU338" s="363"/>
      <c r="AV338" s="363"/>
      <c r="AW338" s="363"/>
      <c r="AX338" s="363"/>
      <c r="AY338" s="363"/>
      <c r="AZ338" s="363"/>
      <c r="BA338" s="363"/>
      <c r="BB338" s="363"/>
      <c r="BC338" s="363"/>
      <c r="BD338" s="363"/>
      <c r="BE338" s="363"/>
      <c r="BF338" s="363"/>
      <c r="BG338" s="363"/>
      <c r="BH338" s="363"/>
      <c r="BI338" s="363"/>
      <c r="BJ338" s="363"/>
      <c r="BK338" s="363"/>
      <c r="BL338" s="363"/>
      <c r="BM338" s="363"/>
      <c r="BN338" s="363"/>
      <c r="BO338" s="363"/>
      <c r="BP338" s="363"/>
      <c r="BQ338" s="363"/>
      <c r="BR338" s="363"/>
      <c r="BS338" s="363"/>
      <c r="BT338" s="363"/>
      <c r="BU338" s="363"/>
      <c r="BV338" s="363"/>
    </row>
    <row r="339" spans="1:74" ht="15" x14ac:dyDescent="0.25">
      <c r="A339" s="363"/>
      <c r="B339" s="363"/>
      <c r="C339" s="363"/>
      <c r="D339" s="363"/>
      <c r="E339" s="363"/>
      <c r="F339" s="363"/>
      <c r="G339" s="363"/>
      <c r="H339" s="363"/>
      <c r="I339" s="363"/>
      <c r="J339" s="363"/>
      <c r="K339" s="363"/>
      <c r="L339" s="363"/>
      <c r="M339" s="363"/>
      <c r="N339" s="363"/>
      <c r="O339" s="363"/>
      <c r="P339" s="363"/>
      <c r="Q339" s="363"/>
      <c r="R339" s="363"/>
      <c r="S339" s="363"/>
      <c r="T339" s="363"/>
      <c r="U339" s="363"/>
      <c r="V339" s="363"/>
      <c r="W339" s="363"/>
      <c r="X339" s="363"/>
      <c r="Y339" s="363"/>
      <c r="Z339" s="363"/>
      <c r="AA339" s="363"/>
      <c r="AB339" s="363"/>
      <c r="AC339" s="363"/>
      <c r="AD339" s="363"/>
      <c r="AE339" s="363"/>
      <c r="AF339" s="363"/>
      <c r="AG339" s="363"/>
      <c r="AH339" s="363"/>
      <c r="AI339" s="363"/>
      <c r="AJ339" s="363"/>
      <c r="AK339" s="363"/>
      <c r="AL339" s="363"/>
      <c r="AM339" s="363"/>
      <c r="AN339" s="363"/>
      <c r="AO339" s="363"/>
      <c r="AP339" s="363"/>
      <c r="AQ339" s="363"/>
      <c r="AR339" s="363"/>
      <c r="AS339" s="363"/>
      <c r="AT339" s="363"/>
      <c r="AU339" s="363"/>
      <c r="AV339" s="363"/>
      <c r="AW339" s="363"/>
      <c r="AX339" s="363"/>
      <c r="AY339" s="363"/>
      <c r="AZ339" s="363"/>
      <c r="BA339" s="363"/>
      <c r="BB339" s="363"/>
      <c r="BC339" s="363"/>
      <c r="BD339" s="363"/>
      <c r="BE339" s="363"/>
      <c r="BF339" s="363"/>
      <c r="BG339" s="363"/>
      <c r="BH339" s="363"/>
      <c r="BI339" s="363"/>
      <c r="BJ339" s="363"/>
      <c r="BK339" s="363"/>
      <c r="BL339" s="363"/>
      <c r="BM339" s="363"/>
      <c r="BN339" s="363"/>
      <c r="BO339" s="363"/>
      <c r="BP339" s="363"/>
      <c r="BQ339" s="363"/>
      <c r="BR339" s="363"/>
      <c r="BS339" s="363"/>
      <c r="BT339" s="363"/>
      <c r="BU339" s="363"/>
      <c r="BV339" s="363"/>
    </row>
    <row r="340" spans="1:74" ht="15" x14ac:dyDescent="0.25">
      <c r="A340" s="363"/>
      <c r="B340" s="363"/>
      <c r="C340" s="363"/>
      <c r="D340" s="363"/>
      <c r="E340" s="363"/>
      <c r="F340" s="363"/>
      <c r="G340" s="363"/>
      <c r="H340" s="363"/>
      <c r="I340" s="363"/>
      <c r="J340" s="363"/>
      <c r="K340" s="363"/>
      <c r="L340" s="363"/>
      <c r="M340" s="363"/>
      <c r="N340" s="363"/>
      <c r="O340" s="363"/>
      <c r="P340" s="363"/>
      <c r="Q340" s="363"/>
      <c r="R340" s="363"/>
      <c r="S340" s="363"/>
      <c r="T340" s="363"/>
      <c r="U340" s="363"/>
      <c r="V340" s="363"/>
      <c r="W340" s="363"/>
      <c r="X340" s="363"/>
      <c r="Y340" s="363"/>
      <c r="Z340" s="363"/>
      <c r="AA340" s="363"/>
      <c r="AB340" s="363"/>
      <c r="AC340" s="363"/>
      <c r="AD340" s="363"/>
      <c r="AE340" s="363"/>
      <c r="AF340" s="363"/>
      <c r="AG340" s="363"/>
      <c r="AH340" s="363"/>
      <c r="AI340" s="363"/>
      <c r="AJ340" s="363"/>
      <c r="AK340" s="363"/>
      <c r="AL340" s="363"/>
      <c r="AM340" s="363"/>
      <c r="AN340" s="363"/>
      <c r="AO340" s="363"/>
      <c r="AP340" s="363"/>
      <c r="AQ340" s="363"/>
      <c r="AR340" s="363"/>
      <c r="AS340" s="363"/>
      <c r="AT340" s="363"/>
      <c r="AU340" s="363"/>
      <c r="AV340" s="363"/>
      <c r="AW340" s="363"/>
      <c r="AX340" s="363"/>
      <c r="AY340" s="363"/>
      <c r="AZ340" s="363"/>
      <c r="BA340" s="363"/>
      <c r="BB340" s="363"/>
      <c r="BC340" s="363"/>
      <c r="BD340" s="363"/>
      <c r="BE340" s="363"/>
      <c r="BF340" s="363"/>
      <c r="BG340" s="363"/>
      <c r="BH340" s="363"/>
      <c r="BI340" s="363"/>
      <c r="BJ340" s="363"/>
      <c r="BK340" s="363"/>
      <c r="BL340" s="363"/>
      <c r="BM340" s="363"/>
      <c r="BN340" s="363"/>
      <c r="BO340" s="363"/>
      <c r="BP340" s="363"/>
      <c r="BQ340" s="363"/>
      <c r="BR340" s="363"/>
      <c r="BS340" s="363"/>
      <c r="BT340" s="363"/>
      <c r="BU340" s="363"/>
      <c r="BV340" s="363"/>
    </row>
    <row r="341" spans="1:74" ht="15" x14ac:dyDescent="0.25">
      <c r="A341" s="363"/>
      <c r="B341" s="363"/>
      <c r="C341" s="363"/>
      <c r="D341" s="363"/>
      <c r="E341" s="363"/>
      <c r="F341" s="363"/>
      <c r="G341" s="363"/>
      <c r="H341" s="363"/>
      <c r="I341" s="363"/>
      <c r="J341" s="363"/>
      <c r="K341" s="363"/>
      <c r="L341" s="363"/>
      <c r="M341" s="363"/>
      <c r="N341" s="363"/>
      <c r="O341" s="363"/>
      <c r="P341" s="363"/>
      <c r="Q341" s="363"/>
      <c r="R341" s="363"/>
      <c r="S341" s="363"/>
      <c r="T341" s="363"/>
      <c r="U341" s="363"/>
      <c r="V341" s="363"/>
      <c r="W341" s="363"/>
      <c r="X341" s="363"/>
      <c r="Y341" s="363"/>
      <c r="Z341" s="363"/>
      <c r="AA341" s="363"/>
      <c r="AB341" s="363"/>
      <c r="AC341" s="363"/>
      <c r="AD341" s="363"/>
      <c r="AE341" s="363"/>
      <c r="AF341" s="363"/>
      <c r="AG341" s="363"/>
      <c r="AH341" s="363"/>
      <c r="AI341" s="363"/>
      <c r="AJ341" s="363"/>
      <c r="AK341" s="363"/>
      <c r="AL341" s="363"/>
      <c r="AM341" s="363"/>
      <c r="AN341" s="363"/>
      <c r="AO341" s="363"/>
      <c r="AP341" s="363"/>
      <c r="AQ341" s="363"/>
      <c r="AR341" s="363"/>
      <c r="AS341" s="363"/>
      <c r="AT341" s="363"/>
      <c r="AU341" s="363"/>
      <c r="AV341" s="363"/>
      <c r="AW341" s="363"/>
      <c r="AX341" s="363"/>
      <c r="AY341" s="363"/>
      <c r="AZ341" s="363"/>
      <c r="BA341" s="363"/>
      <c r="BB341" s="363"/>
      <c r="BC341" s="363"/>
      <c r="BD341" s="363"/>
      <c r="BE341" s="363"/>
      <c r="BF341" s="363"/>
      <c r="BG341" s="363"/>
      <c r="BH341" s="363"/>
      <c r="BI341" s="363"/>
      <c r="BJ341" s="363"/>
      <c r="BK341" s="363"/>
      <c r="BL341" s="363"/>
      <c r="BM341" s="363"/>
      <c r="BN341" s="363"/>
      <c r="BO341" s="363"/>
      <c r="BP341" s="363"/>
      <c r="BQ341" s="363"/>
      <c r="BR341" s="363"/>
      <c r="BS341" s="363"/>
      <c r="BT341" s="363"/>
      <c r="BU341" s="363"/>
      <c r="BV341" s="363"/>
    </row>
    <row r="342" spans="1:74" ht="15" x14ac:dyDescent="0.25">
      <c r="A342" s="363"/>
      <c r="B342" s="363"/>
      <c r="C342" s="363"/>
      <c r="D342" s="363"/>
      <c r="E342" s="363"/>
      <c r="F342" s="363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363"/>
      <c r="R342" s="363"/>
      <c r="S342" s="363"/>
      <c r="T342" s="363"/>
      <c r="U342" s="363"/>
      <c r="V342" s="363"/>
      <c r="W342" s="363"/>
      <c r="X342" s="363"/>
      <c r="Y342" s="363"/>
      <c r="Z342" s="363"/>
      <c r="AA342" s="363"/>
      <c r="AB342" s="363"/>
      <c r="AC342" s="363"/>
      <c r="AD342" s="363"/>
      <c r="AE342" s="363"/>
      <c r="AF342" s="363"/>
      <c r="AG342" s="363"/>
      <c r="AH342" s="363"/>
      <c r="AI342" s="363"/>
      <c r="AJ342" s="363"/>
      <c r="AK342" s="363"/>
      <c r="AL342" s="363"/>
      <c r="AM342" s="363"/>
      <c r="AN342" s="363"/>
      <c r="AO342" s="363"/>
      <c r="AP342" s="363"/>
      <c r="AQ342" s="363"/>
      <c r="AR342" s="363"/>
      <c r="AS342" s="363"/>
      <c r="AT342" s="363"/>
      <c r="AU342" s="363"/>
      <c r="AV342" s="363"/>
      <c r="AW342" s="363"/>
      <c r="AX342" s="363"/>
      <c r="AY342" s="363"/>
      <c r="AZ342" s="363"/>
      <c r="BA342" s="363"/>
      <c r="BB342" s="363"/>
      <c r="BC342" s="363"/>
      <c r="BD342" s="363"/>
      <c r="BE342" s="363"/>
      <c r="BF342" s="363"/>
      <c r="BG342" s="363"/>
      <c r="BH342" s="363"/>
      <c r="BI342" s="363"/>
      <c r="BJ342" s="363"/>
      <c r="BK342" s="363"/>
      <c r="BL342" s="363"/>
      <c r="BM342" s="363"/>
      <c r="BN342" s="363"/>
      <c r="BO342" s="363"/>
      <c r="BP342" s="363"/>
      <c r="BQ342" s="363"/>
      <c r="BR342" s="363"/>
      <c r="BS342" s="363"/>
      <c r="BT342" s="363"/>
      <c r="BU342" s="363"/>
      <c r="BV342" s="363"/>
    </row>
    <row r="343" spans="1:74" ht="15" x14ac:dyDescent="0.25">
      <c r="A343" s="363"/>
      <c r="B343" s="363"/>
      <c r="C343" s="363"/>
      <c r="D343" s="363"/>
      <c r="E343" s="363"/>
      <c r="F343" s="363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363"/>
      <c r="R343" s="363"/>
      <c r="S343" s="363"/>
      <c r="T343" s="363"/>
      <c r="U343" s="363"/>
      <c r="V343" s="363"/>
      <c r="W343" s="363"/>
      <c r="X343" s="363"/>
      <c r="Y343" s="363"/>
      <c r="Z343" s="363"/>
      <c r="AA343" s="363"/>
      <c r="AB343" s="363"/>
      <c r="AC343" s="363"/>
      <c r="AD343" s="363"/>
      <c r="AE343" s="363"/>
      <c r="AF343" s="363"/>
      <c r="AG343" s="363"/>
      <c r="AH343" s="363"/>
      <c r="AI343" s="363"/>
      <c r="AJ343" s="363"/>
      <c r="AK343" s="363"/>
      <c r="AL343" s="363"/>
      <c r="AM343" s="363"/>
      <c r="AN343" s="363"/>
      <c r="AO343" s="363"/>
      <c r="AP343" s="363"/>
      <c r="AQ343" s="363"/>
      <c r="AR343" s="363"/>
      <c r="AS343" s="363"/>
      <c r="AT343" s="363"/>
      <c r="AU343" s="363"/>
      <c r="AV343" s="363"/>
      <c r="AW343" s="363"/>
      <c r="AX343" s="363"/>
      <c r="AY343" s="363"/>
      <c r="AZ343" s="363"/>
      <c r="BA343" s="363"/>
      <c r="BB343" s="363"/>
      <c r="BC343" s="363"/>
      <c r="BD343" s="363"/>
      <c r="BE343" s="363"/>
      <c r="BF343" s="363"/>
      <c r="BG343" s="363"/>
      <c r="BH343" s="363"/>
      <c r="BI343" s="363"/>
      <c r="BJ343" s="363"/>
      <c r="BK343" s="363"/>
      <c r="BL343" s="363"/>
      <c r="BM343" s="363"/>
      <c r="BN343" s="363"/>
      <c r="BO343" s="363"/>
      <c r="BP343" s="363"/>
      <c r="BQ343" s="363"/>
      <c r="BR343" s="363"/>
      <c r="BS343" s="363"/>
      <c r="BT343" s="363"/>
      <c r="BU343" s="363"/>
      <c r="BV343" s="363"/>
    </row>
    <row r="344" spans="1:74" ht="15" x14ac:dyDescent="0.25">
      <c r="A344" s="363"/>
      <c r="B344" s="363"/>
      <c r="C344" s="363"/>
      <c r="D344" s="363"/>
      <c r="E344" s="363"/>
      <c r="F344" s="363"/>
      <c r="G344" s="363"/>
      <c r="H344" s="363"/>
      <c r="I344" s="363"/>
      <c r="J344" s="363"/>
      <c r="K344" s="363"/>
      <c r="L344" s="363"/>
      <c r="M344" s="363"/>
      <c r="N344" s="363"/>
      <c r="O344" s="363"/>
      <c r="P344" s="363"/>
      <c r="Q344" s="363"/>
      <c r="R344" s="363"/>
      <c r="S344" s="363"/>
      <c r="T344" s="363"/>
      <c r="U344" s="363"/>
      <c r="V344" s="363"/>
      <c r="W344" s="363"/>
      <c r="X344" s="363"/>
      <c r="Y344" s="363"/>
      <c r="Z344" s="363"/>
      <c r="AA344" s="363"/>
      <c r="AB344" s="363"/>
      <c r="AC344" s="363"/>
      <c r="AD344" s="363"/>
      <c r="AE344" s="363"/>
      <c r="AF344" s="363"/>
      <c r="AG344" s="363"/>
      <c r="AH344" s="363"/>
      <c r="AI344" s="363"/>
      <c r="AJ344" s="363"/>
      <c r="AK344" s="363"/>
      <c r="AL344" s="363"/>
      <c r="AM344" s="363"/>
      <c r="AN344" s="363"/>
      <c r="AO344" s="363"/>
      <c r="AP344" s="363"/>
      <c r="AQ344" s="363"/>
      <c r="AR344" s="363"/>
      <c r="AS344" s="363"/>
      <c r="AT344" s="363"/>
      <c r="AU344" s="363"/>
      <c r="AV344" s="363"/>
      <c r="AW344" s="363"/>
      <c r="AX344" s="363"/>
      <c r="AY344" s="363"/>
      <c r="AZ344" s="363"/>
      <c r="BA344" s="363"/>
      <c r="BB344" s="363"/>
      <c r="BC344" s="363"/>
      <c r="BD344" s="363"/>
      <c r="BE344" s="363"/>
      <c r="BF344" s="363"/>
      <c r="BG344" s="363"/>
      <c r="BH344" s="363"/>
      <c r="BI344" s="363"/>
      <c r="BJ344" s="363"/>
      <c r="BK344" s="363"/>
      <c r="BL344" s="363"/>
      <c r="BM344" s="363"/>
      <c r="BN344" s="363"/>
      <c r="BO344" s="363"/>
      <c r="BP344" s="363"/>
      <c r="BQ344" s="363"/>
      <c r="BR344" s="363"/>
      <c r="BS344" s="363"/>
      <c r="BT344" s="363"/>
      <c r="BU344" s="363"/>
      <c r="BV344" s="363"/>
    </row>
    <row r="345" spans="1:74" ht="15" x14ac:dyDescent="0.25">
      <c r="A345" s="363"/>
      <c r="B345" s="363"/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  <c r="P345" s="363"/>
      <c r="Q345" s="363"/>
      <c r="R345" s="363"/>
      <c r="S345" s="363"/>
      <c r="T345" s="363"/>
      <c r="U345" s="363"/>
      <c r="V345" s="363"/>
      <c r="W345" s="363"/>
      <c r="X345" s="363"/>
      <c r="Y345" s="363"/>
      <c r="Z345" s="363"/>
      <c r="AA345" s="363"/>
      <c r="AB345" s="363"/>
      <c r="AC345" s="363"/>
      <c r="AD345" s="363"/>
      <c r="AE345" s="363"/>
      <c r="AF345" s="363"/>
      <c r="AG345" s="363"/>
      <c r="AH345" s="363"/>
      <c r="AI345" s="363"/>
      <c r="AJ345" s="363"/>
      <c r="AK345" s="363"/>
      <c r="AL345" s="363"/>
      <c r="AM345" s="363"/>
      <c r="AN345" s="363"/>
      <c r="AO345" s="363"/>
      <c r="AP345" s="363"/>
      <c r="AQ345" s="363"/>
      <c r="AR345" s="363"/>
      <c r="AS345" s="363"/>
      <c r="AT345" s="363"/>
      <c r="AU345" s="363"/>
      <c r="AV345" s="363"/>
      <c r="AW345" s="363"/>
      <c r="AX345" s="363"/>
      <c r="AY345" s="363"/>
      <c r="AZ345" s="363"/>
      <c r="BA345" s="363"/>
      <c r="BB345" s="363"/>
      <c r="BC345" s="363"/>
      <c r="BD345" s="363"/>
      <c r="BE345" s="363"/>
      <c r="BF345" s="363"/>
      <c r="BG345" s="363"/>
      <c r="BH345" s="363"/>
      <c r="BI345" s="363"/>
      <c r="BJ345" s="363"/>
      <c r="BK345" s="363"/>
      <c r="BL345" s="363"/>
      <c r="BM345" s="363"/>
      <c r="BN345" s="363"/>
      <c r="BO345" s="363"/>
      <c r="BP345" s="363"/>
      <c r="BQ345" s="363"/>
      <c r="BR345" s="363"/>
      <c r="BS345" s="363"/>
      <c r="BT345" s="363"/>
      <c r="BU345" s="363"/>
      <c r="BV345" s="363"/>
    </row>
    <row r="346" spans="1:74" ht="15" x14ac:dyDescent="0.25">
      <c r="A346" s="363"/>
      <c r="B346" s="363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3"/>
      <c r="AA346" s="363"/>
      <c r="AB346" s="363"/>
      <c r="AC346" s="363"/>
      <c r="AD346" s="363"/>
      <c r="AE346" s="363"/>
      <c r="AF346" s="363"/>
      <c r="AG346" s="363"/>
      <c r="AH346" s="363"/>
      <c r="AI346" s="363"/>
      <c r="AJ346" s="363"/>
      <c r="AK346" s="363"/>
      <c r="AL346" s="363"/>
      <c r="AM346" s="363"/>
      <c r="AN346" s="363"/>
      <c r="AO346" s="363"/>
      <c r="AP346" s="363"/>
      <c r="AQ346" s="363"/>
      <c r="AR346" s="363"/>
      <c r="AS346" s="363"/>
      <c r="AT346" s="363"/>
      <c r="AU346" s="363"/>
      <c r="AV346" s="363"/>
      <c r="AW346" s="363"/>
      <c r="AX346" s="363"/>
      <c r="AY346" s="363"/>
      <c r="AZ346" s="363"/>
      <c r="BA346" s="363"/>
      <c r="BB346" s="363"/>
      <c r="BC346" s="363"/>
      <c r="BD346" s="363"/>
      <c r="BE346" s="363"/>
      <c r="BF346" s="363"/>
      <c r="BG346" s="363"/>
      <c r="BH346" s="363"/>
      <c r="BI346" s="363"/>
      <c r="BJ346" s="363"/>
      <c r="BK346" s="363"/>
      <c r="BL346" s="363"/>
      <c r="BM346" s="363"/>
      <c r="BN346" s="363"/>
      <c r="BO346" s="363"/>
      <c r="BP346" s="363"/>
      <c r="BQ346" s="363"/>
      <c r="BR346" s="363"/>
      <c r="BS346" s="363"/>
      <c r="BT346" s="363"/>
      <c r="BU346" s="363"/>
      <c r="BV346" s="363"/>
    </row>
    <row r="347" spans="1:74" ht="15" x14ac:dyDescent="0.25">
      <c r="A347" s="363"/>
      <c r="B347" s="363"/>
      <c r="C347" s="363"/>
      <c r="D347" s="363"/>
      <c r="E347" s="363"/>
      <c r="F347" s="363"/>
      <c r="G347" s="363"/>
      <c r="H347" s="363"/>
      <c r="I347" s="363"/>
      <c r="J347" s="363"/>
      <c r="K347" s="363"/>
      <c r="L347" s="363"/>
      <c r="M347" s="363"/>
      <c r="N347" s="363"/>
      <c r="O347" s="363"/>
      <c r="P347" s="363"/>
      <c r="Q347" s="363"/>
      <c r="R347" s="363"/>
      <c r="S347" s="363"/>
      <c r="T347" s="363"/>
      <c r="U347" s="363"/>
      <c r="V347" s="363"/>
      <c r="W347" s="363"/>
      <c r="X347" s="363"/>
      <c r="Y347" s="363"/>
      <c r="Z347" s="363"/>
      <c r="AA347" s="363"/>
      <c r="AB347" s="363"/>
      <c r="AC347" s="363"/>
      <c r="AD347" s="363"/>
      <c r="AE347" s="363"/>
      <c r="AF347" s="363"/>
      <c r="AG347" s="363"/>
      <c r="AH347" s="363"/>
      <c r="AI347" s="363"/>
      <c r="AJ347" s="363"/>
      <c r="AK347" s="363"/>
      <c r="AL347" s="363"/>
      <c r="AM347" s="363"/>
      <c r="AN347" s="363"/>
      <c r="AO347" s="363"/>
      <c r="AP347" s="363"/>
      <c r="AQ347" s="363"/>
      <c r="AR347" s="363"/>
      <c r="AS347" s="363"/>
      <c r="AT347" s="363"/>
      <c r="AU347" s="363"/>
      <c r="AV347" s="363"/>
      <c r="AW347" s="363"/>
      <c r="AX347" s="363"/>
      <c r="AY347" s="363"/>
      <c r="AZ347" s="363"/>
      <c r="BA347" s="363"/>
      <c r="BB347" s="363"/>
      <c r="BC347" s="363"/>
      <c r="BD347" s="363"/>
      <c r="BE347" s="363"/>
      <c r="BF347" s="363"/>
      <c r="BG347" s="363"/>
      <c r="BH347" s="363"/>
      <c r="BI347" s="363"/>
      <c r="BJ347" s="363"/>
      <c r="BK347" s="363"/>
      <c r="BL347" s="363"/>
      <c r="BM347" s="363"/>
      <c r="BN347" s="363"/>
      <c r="BO347" s="363"/>
      <c r="BP347" s="363"/>
      <c r="BQ347" s="363"/>
      <c r="BR347" s="363"/>
      <c r="BS347" s="363"/>
      <c r="BT347" s="363"/>
      <c r="BU347" s="363"/>
      <c r="BV347" s="363"/>
    </row>
    <row r="348" spans="1:74" ht="15" x14ac:dyDescent="0.25">
      <c r="A348" s="363"/>
      <c r="B348" s="363"/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  <c r="S348" s="363"/>
      <c r="T348" s="363"/>
      <c r="U348" s="363"/>
      <c r="V348" s="363"/>
      <c r="W348" s="363"/>
      <c r="X348" s="363"/>
      <c r="Y348" s="363"/>
      <c r="Z348" s="363"/>
      <c r="AA348" s="363"/>
      <c r="AB348" s="363"/>
      <c r="AC348" s="363"/>
      <c r="AD348" s="363"/>
      <c r="AE348" s="363"/>
      <c r="AF348" s="363"/>
      <c r="AG348" s="363"/>
      <c r="AH348" s="363"/>
      <c r="AI348" s="363"/>
      <c r="AJ348" s="363"/>
      <c r="AK348" s="363"/>
      <c r="AL348" s="363"/>
      <c r="AM348" s="363"/>
      <c r="AN348" s="363"/>
      <c r="AO348" s="363"/>
      <c r="AP348" s="363"/>
      <c r="AQ348" s="363"/>
      <c r="AR348" s="363"/>
      <c r="AS348" s="363"/>
      <c r="AT348" s="363"/>
      <c r="AU348" s="363"/>
      <c r="AV348" s="363"/>
      <c r="AW348" s="363"/>
      <c r="AX348" s="363"/>
      <c r="AY348" s="363"/>
      <c r="AZ348" s="363"/>
      <c r="BA348" s="363"/>
      <c r="BB348" s="363"/>
      <c r="BC348" s="363"/>
      <c r="BD348" s="363"/>
      <c r="BE348" s="363"/>
      <c r="BF348" s="363"/>
      <c r="BG348" s="363"/>
      <c r="BH348" s="363"/>
      <c r="BI348" s="363"/>
      <c r="BJ348" s="363"/>
      <c r="BK348" s="363"/>
      <c r="BL348" s="363"/>
      <c r="BM348" s="363"/>
      <c r="BN348" s="363"/>
      <c r="BO348" s="363"/>
      <c r="BP348" s="363"/>
      <c r="BQ348" s="363"/>
      <c r="BR348" s="363"/>
      <c r="BS348" s="363"/>
      <c r="BT348" s="363"/>
      <c r="BU348" s="363"/>
      <c r="BV348" s="363"/>
    </row>
    <row r="349" spans="1:74" ht="15" x14ac:dyDescent="0.25">
      <c r="A349" s="363"/>
      <c r="B349" s="363"/>
      <c r="C349" s="363"/>
      <c r="D349" s="363"/>
      <c r="E349" s="363"/>
      <c r="F349" s="363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  <c r="S349" s="363"/>
      <c r="T349" s="363"/>
      <c r="U349" s="363"/>
      <c r="V349" s="363"/>
      <c r="W349" s="363"/>
      <c r="X349" s="363"/>
      <c r="Y349" s="363"/>
      <c r="Z349" s="363"/>
      <c r="AA349" s="363"/>
      <c r="AB349" s="363"/>
      <c r="AC349" s="363"/>
      <c r="AD349" s="363"/>
      <c r="AE349" s="363"/>
      <c r="AF349" s="363"/>
      <c r="AG349" s="363"/>
      <c r="AH349" s="363"/>
      <c r="AI349" s="363"/>
      <c r="AJ349" s="363"/>
      <c r="AK349" s="363"/>
      <c r="AL349" s="363"/>
      <c r="AM349" s="363"/>
      <c r="AN349" s="363"/>
      <c r="AO349" s="363"/>
      <c r="AP349" s="363"/>
      <c r="AQ349" s="363"/>
      <c r="AR349" s="363"/>
      <c r="AS349" s="363"/>
      <c r="AT349" s="363"/>
      <c r="AU349" s="363"/>
      <c r="AV349" s="363"/>
      <c r="AW349" s="363"/>
      <c r="AX349" s="363"/>
      <c r="AY349" s="363"/>
      <c r="AZ349" s="363"/>
      <c r="BA349" s="363"/>
      <c r="BB349" s="363"/>
      <c r="BC349" s="363"/>
      <c r="BD349" s="363"/>
      <c r="BE349" s="363"/>
      <c r="BF349" s="363"/>
      <c r="BG349" s="363"/>
      <c r="BH349" s="363"/>
      <c r="BI349" s="363"/>
      <c r="BJ349" s="363"/>
      <c r="BK349" s="363"/>
      <c r="BL349" s="363"/>
      <c r="BM349" s="363"/>
      <c r="BN349" s="363"/>
      <c r="BO349" s="363"/>
      <c r="BP349" s="363"/>
      <c r="BQ349" s="363"/>
      <c r="BR349" s="363"/>
      <c r="BS349" s="363"/>
      <c r="BT349" s="363"/>
      <c r="BU349" s="363"/>
      <c r="BV349" s="363"/>
    </row>
    <row r="350" spans="1:74" ht="15" x14ac:dyDescent="0.25">
      <c r="A350" s="363"/>
      <c r="B350" s="363"/>
      <c r="C350" s="363"/>
      <c r="D350" s="363"/>
      <c r="E350" s="363"/>
      <c r="F350" s="363"/>
      <c r="G350" s="363"/>
      <c r="H350" s="363"/>
      <c r="I350" s="363"/>
      <c r="J350" s="363"/>
      <c r="K350" s="363"/>
      <c r="L350" s="363"/>
      <c r="M350" s="363"/>
      <c r="N350" s="363"/>
      <c r="O350" s="363"/>
      <c r="P350" s="363"/>
      <c r="Q350" s="363"/>
      <c r="R350" s="363"/>
      <c r="S350" s="363"/>
      <c r="T350" s="363"/>
      <c r="U350" s="363"/>
      <c r="V350" s="363"/>
      <c r="W350" s="363"/>
      <c r="X350" s="363"/>
      <c r="Y350" s="363"/>
      <c r="Z350" s="363"/>
      <c r="AA350" s="363"/>
      <c r="AB350" s="363"/>
      <c r="AC350" s="363"/>
      <c r="AD350" s="363"/>
      <c r="AE350" s="363"/>
      <c r="AF350" s="363"/>
      <c r="AG350" s="363"/>
      <c r="AH350" s="363"/>
      <c r="AI350" s="363"/>
      <c r="AJ350" s="363"/>
      <c r="AK350" s="363"/>
      <c r="AL350" s="363"/>
      <c r="AM350" s="363"/>
      <c r="AN350" s="363"/>
      <c r="AO350" s="363"/>
      <c r="AP350" s="363"/>
      <c r="AQ350" s="363"/>
      <c r="AR350" s="363"/>
      <c r="AS350" s="363"/>
      <c r="AT350" s="363"/>
      <c r="AU350" s="363"/>
      <c r="AV350" s="363"/>
      <c r="AW350" s="363"/>
      <c r="AX350" s="363"/>
      <c r="AY350" s="363"/>
      <c r="AZ350" s="363"/>
      <c r="BA350" s="363"/>
      <c r="BB350" s="363"/>
      <c r="BC350" s="363"/>
      <c r="BD350" s="363"/>
      <c r="BE350" s="363"/>
      <c r="BF350" s="363"/>
      <c r="BG350" s="363"/>
      <c r="BH350" s="363"/>
      <c r="BI350" s="363"/>
      <c r="BJ350" s="363"/>
      <c r="BK350" s="363"/>
      <c r="BL350" s="363"/>
      <c r="BM350" s="363"/>
      <c r="BN350" s="363"/>
      <c r="BO350" s="363"/>
      <c r="BP350" s="363"/>
      <c r="BQ350" s="363"/>
      <c r="BR350" s="363"/>
      <c r="BS350" s="363"/>
      <c r="BT350" s="363"/>
      <c r="BU350" s="363"/>
      <c r="BV350" s="363"/>
    </row>
    <row r="351" spans="1:74" ht="15" x14ac:dyDescent="0.25">
      <c r="A351" s="363"/>
      <c r="B351" s="363"/>
      <c r="C351" s="363"/>
      <c r="D351" s="363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  <c r="X351" s="363"/>
      <c r="Y351" s="363"/>
      <c r="Z351" s="363"/>
      <c r="AA351" s="363"/>
      <c r="AB351" s="363"/>
      <c r="AC351" s="363"/>
      <c r="AD351" s="363"/>
      <c r="AE351" s="363"/>
      <c r="AF351" s="363"/>
      <c r="AG351" s="363"/>
      <c r="AH351" s="363"/>
      <c r="AI351" s="363"/>
      <c r="AJ351" s="363"/>
      <c r="AK351" s="363"/>
      <c r="AL351" s="363"/>
      <c r="AM351" s="363"/>
      <c r="AN351" s="363"/>
      <c r="AO351" s="363"/>
      <c r="AP351" s="363"/>
      <c r="AQ351" s="363"/>
      <c r="AR351" s="363"/>
      <c r="AS351" s="363"/>
      <c r="AT351" s="363"/>
      <c r="AU351" s="363"/>
      <c r="AV351" s="363"/>
      <c r="AW351" s="363"/>
      <c r="AX351" s="363"/>
      <c r="AY351" s="363"/>
      <c r="AZ351" s="363"/>
      <c r="BA351" s="363"/>
      <c r="BB351" s="363"/>
      <c r="BC351" s="363"/>
      <c r="BD351" s="363"/>
      <c r="BE351" s="363"/>
      <c r="BF351" s="363"/>
      <c r="BG351" s="363"/>
      <c r="BH351" s="363"/>
      <c r="BI351" s="363"/>
      <c r="BJ351" s="363"/>
      <c r="BK351" s="363"/>
      <c r="BL351" s="363"/>
      <c r="BM351" s="363"/>
      <c r="BN351" s="363"/>
      <c r="BO351" s="363"/>
      <c r="BP351" s="363"/>
      <c r="BQ351" s="363"/>
      <c r="BR351" s="363"/>
      <c r="BS351" s="363"/>
      <c r="BT351" s="363"/>
      <c r="BU351" s="363"/>
      <c r="BV351" s="363"/>
    </row>
    <row r="352" spans="1:74" ht="15" x14ac:dyDescent="0.25">
      <c r="A352" s="363"/>
      <c r="B352" s="363"/>
      <c r="C352" s="363"/>
      <c r="D352" s="363"/>
      <c r="E352" s="363"/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  <c r="V352" s="363"/>
      <c r="W352" s="363"/>
      <c r="X352" s="363"/>
      <c r="Y352" s="363"/>
      <c r="Z352" s="363"/>
      <c r="AA352" s="363"/>
      <c r="AB352" s="363"/>
      <c r="AC352" s="363"/>
      <c r="AD352" s="363"/>
      <c r="AE352" s="363"/>
      <c r="AF352" s="363"/>
      <c r="AG352" s="363"/>
      <c r="AH352" s="363"/>
      <c r="AI352" s="363"/>
      <c r="AJ352" s="363"/>
      <c r="AK352" s="363"/>
      <c r="AL352" s="363"/>
      <c r="AM352" s="363"/>
      <c r="AN352" s="363"/>
      <c r="AO352" s="363"/>
      <c r="AP352" s="363"/>
      <c r="AQ352" s="363"/>
      <c r="AR352" s="363"/>
      <c r="AS352" s="363"/>
      <c r="AT352" s="363"/>
      <c r="AU352" s="363"/>
      <c r="AV352" s="363"/>
      <c r="AW352" s="363"/>
      <c r="AX352" s="363"/>
      <c r="AY352" s="363"/>
      <c r="AZ352" s="363"/>
      <c r="BA352" s="363"/>
      <c r="BB352" s="363"/>
      <c r="BC352" s="363"/>
      <c r="BD352" s="363"/>
      <c r="BE352" s="363"/>
      <c r="BF352" s="363"/>
      <c r="BG352" s="363"/>
      <c r="BH352" s="363"/>
      <c r="BI352" s="363"/>
      <c r="BJ352" s="363"/>
      <c r="BK352" s="363"/>
      <c r="BL352" s="363"/>
      <c r="BM352" s="363"/>
      <c r="BN352" s="363"/>
      <c r="BO352" s="363"/>
      <c r="BP352" s="363"/>
      <c r="BQ352" s="363"/>
      <c r="BR352" s="363"/>
      <c r="BS352" s="363"/>
      <c r="BT352" s="363"/>
      <c r="BU352" s="363"/>
      <c r="BV352" s="363"/>
    </row>
    <row r="353" spans="1:74" ht="15" x14ac:dyDescent="0.25">
      <c r="A353" s="363"/>
      <c r="B353" s="363"/>
      <c r="C353" s="363"/>
      <c r="D353" s="363"/>
      <c r="E353" s="363"/>
      <c r="F353" s="363"/>
      <c r="G353" s="363"/>
      <c r="H353" s="363"/>
      <c r="I353" s="363"/>
      <c r="J353" s="363"/>
      <c r="K353" s="363"/>
      <c r="L353" s="363"/>
      <c r="M353" s="363"/>
      <c r="N353" s="363"/>
      <c r="O353" s="363"/>
      <c r="P353" s="363"/>
      <c r="Q353" s="363"/>
      <c r="R353" s="363"/>
      <c r="S353" s="363"/>
      <c r="T353" s="363"/>
      <c r="U353" s="363"/>
      <c r="V353" s="363"/>
      <c r="W353" s="363"/>
      <c r="X353" s="363"/>
      <c r="Y353" s="363"/>
      <c r="Z353" s="363"/>
      <c r="AA353" s="363"/>
      <c r="AB353" s="363"/>
      <c r="AC353" s="363"/>
      <c r="AD353" s="363"/>
      <c r="AE353" s="363"/>
      <c r="AF353" s="363"/>
      <c r="AG353" s="363"/>
      <c r="AH353" s="363"/>
      <c r="AI353" s="363"/>
      <c r="AJ353" s="363"/>
      <c r="AK353" s="363"/>
      <c r="AL353" s="363"/>
      <c r="AM353" s="363"/>
      <c r="AN353" s="363"/>
      <c r="AO353" s="363"/>
      <c r="AP353" s="363"/>
      <c r="AQ353" s="363"/>
      <c r="AR353" s="363"/>
      <c r="AS353" s="363"/>
      <c r="AT353" s="363"/>
      <c r="AU353" s="363"/>
      <c r="AV353" s="363"/>
      <c r="AW353" s="363"/>
      <c r="AX353" s="363"/>
      <c r="AY353" s="363"/>
      <c r="AZ353" s="363"/>
      <c r="BA353" s="363"/>
      <c r="BB353" s="363"/>
      <c r="BC353" s="363"/>
      <c r="BD353" s="363"/>
      <c r="BE353" s="363"/>
      <c r="BF353" s="363"/>
      <c r="BG353" s="363"/>
      <c r="BH353" s="363"/>
      <c r="BI353" s="363"/>
      <c r="BJ353" s="363"/>
      <c r="BK353" s="363"/>
      <c r="BL353" s="363"/>
      <c r="BM353" s="363"/>
      <c r="BN353" s="363"/>
      <c r="BO353" s="363"/>
      <c r="BP353" s="363"/>
      <c r="BQ353" s="363"/>
      <c r="BR353" s="363"/>
      <c r="BS353" s="363"/>
      <c r="BT353" s="363"/>
      <c r="BU353" s="363"/>
      <c r="BV353" s="363"/>
    </row>
    <row r="354" spans="1:74" ht="15" x14ac:dyDescent="0.25">
      <c r="A354" s="363"/>
      <c r="B354" s="363"/>
      <c r="C354" s="363"/>
      <c r="D354" s="363"/>
      <c r="E354" s="363"/>
      <c r="F354" s="363"/>
      <c r="G354" s="363"/>
      <c r="H354" s="363"/>
      <c r="I354" s="363"/>
      <c r="J354" s="363"/>
      <c r="K354" s="363"/>
      <c r="L354" s="363"/>
      <c r="M354" s="363"/>
      <c r="N354" s="363"/>
      <c r="O354" s="363"/>
      <c r="P354" s="363"/>
      <c r="Q354" s="363"/>
      <c r="R354" s="363"/>
      <c r="S354" s="363"/>
      <c r="T354" s="363"/>
      <c r="U354" s="363"/>
      <c r="V354" s="363"/>
      <c r="W354" s="363"/>
      <c r="X354" s="363"/>
      <c r="Y354" s="363"/>
      <c r="Z354" s="363"/>
      <c r="AA354" s="363"/>
      <c r="AB354" s="363"/>
      <c r="AC354" s="363"/>
      <c r="AD354" s="363"/>
      <c r="AE354" s="363"/>
      <c r="AF354" s="363"/>
      <c r="AG354" s="363"/>
      <c r="AH354" s="363"/>
      <c r="AI354" s="363"/>
      <c r="AJ354" s="363"/>
      <c r="AK354" s="363"/>
      <c r="AL354" s="363"/>
      <c r="AM354" s="363"/>
      <c r="AN354" s="363"/>
      <c r="AO354" s="363"/>
      <c r="AP354" s="363"/>
      <c r="AQ354" s="363"/>
      <c r="AR354" s="363"/>
      <c r="AS354" s="363"/>
      <c r="AT354" s="363"/>
      <c r="AU354" s="363"/>
      <c r="AV354" s="363"/>
      <c r="AW354" s="363"/>
      <c r="AX354" s="363"/>
      <c r="AY354" s="363"/>
      <c r="AZ354" s="363"/>
      <c r="BA354" s="363"/>
      <c r="BB354" s="363"/>
      <c r="BC354" s="363"/>
      <c r="BD354" s="363"/>
      <c r="BE354" s="363"/>
      <c r="BF354" s="363"/>
      <c r="BG354" s="363"/>
      <c r="BH354" s="363"/>
      <c r="BI354" s="363"/>
      <c r="BJ354" s="363"/>
      <c r="BK354" s="363"/>
      <c r="BL354" s="363"/>
      <c r="BM354" s="363"/>
      <c r="BN354" s="363"/>
      <c r="BO354" s="363"/>
      <c r="BP354" s="363"/>
      <c r="BQ354" s="363"/>
      <c r="BR354" s="363"/>
      <c r="BS354" s="363"/>
      <c r="BT354" s="363"/>
      <c r="BU354" s="363"/>
      <c r="BV354" s="363"/>
    </row>
    <row r="355" spans="1:74" ht="15" x14ac:dyDescent="0.25">
      <c r="A355" s="363"/>
      <c r="B355" s="363"/>
      <c r="C355" s="363"/>
      <c r="D355" s="363"/>
      <c r="E355" s="363"/>
      <c r="F355" s="363"/>
      <c r="G355" s="363"/>
      <c r="H355" s="363"/>
      <c r="I355" s="363"/>
      <c r="J355" s="363"/>
      <c r="K355" s="363"/>
      <c r="L355" s="363"/>
      <c r="M355" s="363"/>
      <c r="N355" s="363"/>
      <c r="O355" s="363"/>
      <c r="P355" s="363"/>
      <c r="Q355" s="363"/>
      <c r="R355" s="363"/>
      <c r="S355" s="363"/>
      <c r="T355" s="363"/>
      <c r="U355" s="363"/>
      <c r="V355" s="363"/>
      <c r="W355" s="363"/>
      <c r="X355" s="363"/>
      <c r="Y355" s="363"/>
      <c r="Z355" s="363"/>
      <c r="AA355" s="363"/>
      <c r="AB355" s="363"/>
      <c r="AC355" s="363"/>
      <c r="AD355" s="363"/>
      <c r="AE355" s="363"/>
      <c r="AF355" s="363"/>
      <c r="AG355" s="363"/>
      <c r="AH355" s="363"/>
      <c r="AI355" s="363"/>
      <c r="AJ355" s="363"/>
      <c r="AK355" s="363"/>
      <c r="AL355" s="363"/>
      <c r="AM355" s="363"/>
      <c r="AN355" s="363"/>
      <c r="AO355" s="363"/>
      <c r="AP355" s="363"/>
      <c r="AQ355" s="363"/>
      <c r="AR355" s="363"/>
      <c r="AS355" s="363"/>
      <c r="AT355" s="363"/>
      <c r="AU355" s="363"/>
      <c r="AV355" s="363"/>
      <c r="AW355" s="363"/>
      <c r="AX355" s="363"/>
      <c r="AY355" s="363"/>
      <c r="AZ355" s="363"/>
      <c r="BA355" s="363"/>
      <c r="BB355" s="363"/>
      <c r="BC355" s="363"/>
      <c r="BD355" s="363"/>
      <c r="BE355" s="363"/>
      <c r="BF355" s="363"/>
      <c r="BG355" s="363"/>
      <c r="BH355" s="363"/>
      <c r="BI355" s="363"/>
      <c r="BJ355" s="363"/>
      <c r="BK355" s="363"/>
      <c r="BL355" s="363"/>
      <c r="BM355" s="363"/>
      <c r="BN355" s="363"/>
      <c r="BO355" s="363"/>
      <c r="BP355" s="363"/>
      <c r="BQ355" s="363"/>
      <c r="BR355" s="363"/>
      <c r="BS355" s="363"/>
      <c r="BT355" s="363"/>
      <c r="BU355" s="363"/>
      <c r="BV355" s="363"/>
    </row>
    <row r="356" spans="1:74" ht="15" x14ac:dyDescent="0.25">
      <c r="A356" s="363"/>
      <c r="B356" s="363"/>
      <c r="C356" s="363"/>
      <c r="D356" s="363"/>
      <c r="E356" s="363"/>
      <c r="F356" s="363"/>
      <c r="G356" s="363"/>
      <c r="H356" s="363"/>
      <c r="I356" s="363"/>
      <c r="J356" s="363"/>
      <c r="K356" s="363"/>
      <c r="L356" s="363"/>
      <c r="M356" s="363"/>
      <c r="N356" s="363"/>
      <c r="O356" s="363"/>
      <c r="P356" s="363"/>
      <c r="Q356" s="363"/>
      <c r="R356" s="363"/>
      <c r="S356" s="363"/>
      <c r="T356" s="363"/>
      <c r="U356" s="363"/>
      <c r="V356" s="363"/>
      <c r="W356" s="363"/>
      <c r="X356" s="363"/>
      <c r="Y356" s="363"/>
      <c r="Z356" s="363"/>
      <c r="AA356" s="363"/>
      <c r="AB356" s="363"/>
      <c r="AC356" s="363"/>
      <c r="AD356" s="363"/>
      <c r="AE356" s="363"/>
      <c r="AF356" s="363"/>
      <c r="AG356" s="363"/>
      <c r="AH356" s="363"/>
      <c r="AI356" s="363"/>
      <c r="AJ356" s="363"/>
      <c r="AK356" s="363"/>
      <c r="AL356" s="363"/>
      <c r="AM356" s="363"/>
      <c r="AN356" s="363"/>
      <c r="AO356" s="363"/>
      <c r="AP356" s="363"/>
      <c r="AQ356" s="363"/>
      <c r="AR356" s="363"/>
      <c r="AS356" s="363"/>
      <c r="AT356" s="363"/>
      <c r="AU356" s="363"/>
      <c r="AV356" s="363"/>
      <c r="AW356" s="363"/>
      <c r="AX356" s="363"/>
      <c r="AY356" s="363"/>
      <c r="AZ356" s="363"/>
      <c r="BA356" s="363"/>
      <c r="BB356" s="363"/>
      <c r="BC356" s="363"/>
      <c r="BD356" s="363"/>
      <c r="BE356" s="363"/>
      <c r="BF356" s="363"/>
      <c r="BG356" s="363"/>
      <c r="BH356" s="363"/>
      <c r="BI356" s="363"/>
      <c r="BJ356" s="363"/>
      <c r="BK356" s="363"/>
      <c r="BL356" s="363"/>
      <c r="BM356" s="363"/>
      <c r="BN356" s="363"/>
      <c r="BO356" s="363"/>
      <c r="BP356" s="363"/>
      <c r="BQ356" s="363"/>
      <c r="BR356" s="363"/>
      <c r="BS356" s="363"/>
      <c r="BT356" s="363"/>
      <c r="BU356" s="363"/>
      <c r="BV356" s="363"/>
    </row>
    <row r="357" spans="1:74" ht="15" x14ac:dyDescent="0.25">
      <c r="A357" s="363"/>
      <c r="B357" s="363"/>
      <c r="C357" s="363"/>
      <c r="D357" s="363"/>
      <c r="E357" s="363"/>
      <c r="F357" s="363"/>
      <c r="G357" s="363"/>
      <c r="H357" s="363"/>
      <c r="I357" s="363"/>
      <c r="J357" s="363"/>
      <c r="K357" s="363"/>
      <c r="L357" s="363"/>
      <c r="M357" s="363"/>
      <c r="N357" s="363"/>
      <c r="O357" s="363"/>
      <c r="P357" s="363"/>
      <c r="Q357" s="363"/>
      <c r="R357" s="363"/>
      <c r="S357" s="363"/>
      <c r="T357" s="363"/>
      <c r="U357" s="363"/>
      <c r="V357" s="363"/>
      <c r="W357" s="363"/>
      <c r="X357" s="363"/>
      <c r="Y357" s="363"/>
      <c r="Z357" s="363"/>
      <c r="AA357" s="363"/>
      <c r="AB357" s="363"/>
      <c r="AC357" s="363"/>
      <c r="AD357" s="363"/>
      <c r="AE357" s="363"/>
      <c r="AF357" s="363"/>
      <c r="AG357" s="363"/>
      <c r="AH357" s="363"/>
      <c r="AI357" s="363"/>
      <c r="AJ357" s="363"/>
      <c r="AK357" s="363"/>
      <c r="AL357" s="363"/>
      <c r="AM357" s="363"/>
      <c r="AN357" s="363"/>
      <c r="AO357" s="363"/>
      <c r="AP357" s="363"/>
      <c r="AQ357" s="363"/>
      <c r="AR357" s="363"/>
      <c r="AS357" s="363"/>
      <c r="AT357" s="363"/>
      <c r="AU357" s="363"/>
      <c r="AV357" s="363"/>
      <c r="AW357" s="363"/>
      <c r="AX357" s="363"/>
      <c r="AY357" s="363"/>
      <c r="AZ357" s="363"/>
      <c r="BA357" s="363"/>
      <c r="BB357" s="363"/>
      <c r="BC357" s="363"/>
      <c r="BD357" s="363"/>
      <c r="BE357" s="363"/>
      <c r="BF357" s="363"/>
      <c r="BG357" s="363"/>
      <c r="BH357" s="363"/>
      <c r="BI357" s="363"/>
      <c r="BJ357" s="363"/>
      <c r="BK357" s="363"/>
      <c r="BL357" s="363"/>
      <c r="BM357" s="363"/>
      <c r="BN357" s="363"/>
      <c r="BO357" s="363"/>
      <c r="BP357" s="363"/>
      <c r="BQ357" s="363"/>
      <c r="BR357" s="363"/>
      <c r="BS357" s="363"/>
      <c r="BT357" s="363"/>
      <c r="BU357" s="363"/>
      <c r="BV357" s="363"/>
    </row>
    <row r="358" spans="1:74" ht="15" x14ac:dyDescent="0.25">
      <c r="A358" s="363"/>
      <c r="B358" s="363"/>
      <c r="C358" s="363"/>
      <c r="D358" s="363"/>
      <c r="E358" s="363"/>
      <c r="F358" s="363"/>
      <c r="G358" s="363"/>
      <c r="H358" s="363"/>
      <c r="I358" s="363"/>
      <c r="J358" s="363"/>
      <c r="K358" s="363"/>
      <c r="L358" s="363"/>
      <c r="M358" s="363"/>
      <c r="N358" s="363"/>
      <c r="O358" s="363"/>
      <c r="P358" s="363"/>
      <c r="Q358" s="363"/>
      <c r="R358" s="363"/>
      <c r="S358" s="363"/>
      <c r="T358" s="363"/>
      <c r="U358" s="363"/>
      <c r="V358" s="363"/>
      <c r="W358" s="363"/>
      <c r="X358" s="363"/>
      <c r="Y358" s="363"/>
      <c r="Z358" s="363"/>
      <c r="AA358" s="363"/>
      <c r="AB358" s="363"/>
      <c r="AC358" s="363"/>
      <c r="AD358" s="363"/>
      <c r="AE358" s="363"/>
      <c r="AF358" s="363"/>
      <c r="AG358" s="363"/>
      <c r="AH358" s="363"/>
      <c r="AI358" s="363"/>
      <c r="AJ358" s="363"/>
      <c r="AK358" s="363"/>
      <c r="AL358" s="363"/>
      <c r="AM358" s="363"/>
      <c r="AN358" s="363"/>
      <c r="AO358" s="363"/>
      <c r="AP358" s="363"/>
      <c r="AQ358" s="363"/>
      <c r="AR358" s="363"/>
      <c r="AS358" s="363"/>
      <c r="AT358" s="363"/>
      <c r="AU358" s="363"/>
      <c r="AV358" s="363"/>
      <c r="AW358" s="363"/>
      <c r="AX358" s="363"/>
      <c r="AY358" s="363"/>
      <c r="AZ358" s="363"/>
      <c r="BA358" s="363"/>
      <c r="BB358" s="363"/>
      <c r="BC358" s="363"/>
      <c r="BD358" s="363"/>
      <c r="BE358" s="363"/>
      <c r="BF358" s="363"/>
      <c r="BG358" s="363"/>
      <c r="BH358" s="363"/>
      <c r="BI358" s="363"/>
      <c r="BJ358" s="363"/>
      <c r="BK358" s="363"/>
      <c r="BL358" s="363"/>
      <c r="BM358" s="363"/>
      <c r="BN358" s="363"/>
      <c r="BO358" s="363"/>
      <c r="BP358" s="363"/>
      <c r="BQ358" s="363"/>
      <c r="BR358" s="363"/>
      <c r="BS358" s="363"/>
      <c r="BT358" s="363"/>
      <c r="BU358" s="363"/>
      <c r="BV358" s="363"/>
    </row>
    <row r="359" spans="1:74" ht="15" x14ac:dyDescent="0.25">
      <c r="A359" s="363"/>
      <c r="B359" s="363"/>
      <c r="C359" s="363"/>
      <c r="D359" s="363"/>
      <c r="E359" s="363"/>
      <c r="F359" s="363"/>
      <c r="G359" s="363"/>
      <c r="H359" s="363"/>
      <c r="I359" s="363"/>
      <c r="J359" s="363"/>
      <c r="K359" s="363"/>
      <c r="L359" s="363"/>
      <c r="M359" s="363"/>
      <c r="N359" s="363"/>
      <c r="O359" s="363"/>
      <c r="P359" s="363"/>
      <c r="Q359" s="363"/>
      <c r="R359" s="363"/>
      <c r="S359" s="363"/>
      <c r="T359" s="363"/>
      <c r="U359" s="363"/>
      <c r="V359" s="363"/>
      <c r="W359" s="363"/>
      <c r="X359" s="363"/>
      <c r="Y359" s="363"/>
      <c r="Z359" s="363"/>
      <c r="AA359" s="363"/>
      <c r="AB359" s="363"/>
      <c r="AC359" s="363"/>
      <c r="AD359" s="363"/>
      <c r="AE359" s="363"/>
      <c r="AF359" s="363"/>
      <c r="AG359" s="363"/>
      <c r="AH359" s="363"/>
      <c r="AI359" s="363"/>
      <c r="AJ359" s="363"/>
      <c r="AK359" s="363"/>
      <c r="AL359" s="363"/>
      <c r="AM359" s="363"/>
      <c r="AN359" s="363"/>
      <c r="AO359" s="363"/>
      <c r="AP359" s="363"/>
      <c r="AQ359" s="363"/>
      <c r="AR359" s="363"/>
      <c r="AS359" s="363"/>
      <c r="AT359" s="363"/>
      <c r="AU359" s="363"/>
      <c r="AV359" s="363"/>
      <c r="AW359" s="363"/>
      <c r="AX359" s="363"/>
      <c r="AY359" s="363"/>
      <c r="AZ359" s="363"/>
      <c r="BA359" s="363"/>
      <c r="BB359" s="363"/>
      <c r="BC359" s="363"/>
      <c r="BD359" s="363"/>
      <c r="BE359" s="363"/>
      <c r="BF359" s="363"/>
      <c r="BG359" s="363"/>
      <c r="BH359" s="363"/>
      <c r="BI359" s="363"/>
      <c r="BJ359" s="363"/>
      <c r="BK359" s="363"/>
      <c r="BL359" s="363"/>
      <c r="BM359" s="363"/>
      <c r="BN359" s="363"/>
      <c r="BO359" s="363"/>
      <c r="BP359" s="363"/>
      <c r="BQ359" s="363"/>
      <c r="BR359" s="363"/>
      <c r="BS359" s="363"/>
      <c r="BT359" s="363"/>
      <c r="BU359" s="363"/>
      <c r="BV359" s="363"/>
    </row>
    <row r="360" spans="1:74" ht="15" x14ac:dyDescent="0.25">
      <c r="A360" s="363"/>
      <c r="B360" s="363"/>
      <c r="C360" s="363"/>
      <c r="D360" s="363"/>
      <c r="E360" s="363"/>
      <c r="F360" s="363"/>
      <c r="G360" s="363"/>
      <c r="H360" s="363"/>
      <c r="I360" s="363"/>
      <c r="J360" s="363"/>
      <c r="K360" s="363"/>
      <c r="L360" s="363"/>
      <c r="M360" s="363"/>
      <c r="N360" s="363"/>
      <c r="O360" s="363"/>
      <c r="P360" s="363"/>
      <c r="Q360" s="363"/>
      <c r="R360" s="363"/>
      <c r="S360" s="363"/>
      <c r="T360" s="363"/>
      <c r="U360" s="363"/>
      <c r="V360" s="363"/>
      <c r="W360" s="363"/>
      <c r="X360" s="363"/>
      <c r="Y360" s="363"/>
      <c r="Z360" s="363"/>
      <c r="AA360" s="363"/>
      <c r="AB360" s="363"/>
      <c r="AC360" s="363"/>
      <c r="AD360" s="363"/>
      <c r="AE360" s="363"/>
      <c r="AF360" s="363"/>
      <c r="AG360" s="363"/>
      <c r="AH360" s="363"/>
      <c r="AI360" s="363"/>
      <c r="AJ360" s="363"/>
      <c r="AK360" s="363"/>
      <c r="AL360" s="363"/>
      <c r="AM360" s="363"/>
      <c r="AN360" s="363"/>
      <c r="AO360" s="363"/>
      <c r="AP360" s="363"/>
      <c r="AQ360" s="363"/>
      <c r="AR360" s="363"/>
      <c r="AS360" s="363"/>
      <c r="AT360" s="363"/>
      <c r="AU360" s="363"/>
      <c r="AV360" s="363"/>
      <c r="AW360" s="363"/>
      <c r="AX360" s="363"/>
      <c r="AY360" s="363"/>
      <c r="AZ360" s="363"/>
      <c r="BA360" s="363"/>
      <c r="BB360" s="363"/>
      <c r="BC360" s="363"/>
      <c r="BD360" s="363"/>
      <c r="BE360" s="363"/>
      <c r="BF360" s="363"/>
      <c r="BG360" s="363"/>
      <c r="BH360" s="363"/>
      <c r="BI360" s="363"/>
      <c r="BJ360" s="363"/>
      <c r="BK360" s="363"/>
      <c r="BL360" s="363"/>
      <c r="BM360" s="363"/>
      <c r="BN360" s="363"/>
      <c r="BO360" s="363"/>
      <c r="BP360" s="363"/>
      <c r="BQ360" s="363"/>
      <c r="BR360" s="363"/>
      <c r="BS360" s="363"/>
      <c r="BT360" s="363"/>
      <c r="BU360" s="363"/>
      <c r="BV360" s="363"/>
    </row>
    <row r="361" spans="1:74" ht="15" x14ac:dyDescent="0.25">
      <c r="A361" s="363"/>
      <c r="B361" s="363"/>
      <c r="C361" s="363"/>
      <c r="D361" s="363"/>
      <c r="E361" s="363"/>
      <c r="F361" s="363"/>
      <c r="G361" s="363"/>
      <c r="H361" s="363"/>
      <c r="I361" s="363"/>
      <c r="J361" s="363"/>
      <c r="K361" s="363"/>
      <c r="L361" s="363"/>
      <c r="M361" s="363"/>
      <c r="N361" s="363"/>
      <c r="O361" s="363"/>
      <c r="P361" s="363"/>
      <c r="Q361" s="363"/>
      <c r="R361" s="363"/>
      <c r="S361" s="363"/>
      <c r="T361" s="363"/>
      <c r="U361" s="363"/>
      <c r="V361" s="363"/>
      <c r="W361" s="363"/>
      <c r="X361" s="363"/>
      <c r="Y361" s="363"/>
      <c r="Z361" s="363"/>
      <c r="AA361" s="363"/>
      <c r="AB361" s="363"/>
      <c r="AC361" s="363"/>
      <c r="AD361" s="363"/>
      <c r="AE361" s="363"/>
      <c r="AF361" s="363"/>
      <c r="AG361" s="363"/>
      <c r="AH361" s="363"/>
      <c r="AI361" s="363"/>
      <c r="AJ361" s="363"/>
      <c r="AK361" s="363"/>
      <c r="AL361" s="363"/>
      <c r="AM361" s="363"/>
      <c r="AN361" s="363"/>
      <c r="AO361" s="363"/>
      <c r="AP361" s="363"/>
      <c r="AQ361" s="363"/>
      <c r="AR361" s="363"/>
      <c r="AS361" s="363"/>
      <c r="AT361" s="363"/>
      <c r="AU361" s="363"/>
      <c r="AV361" s="363"/>
      <c r="AW361" s="363"/>
      <c r="AX361" s="363"/>
      <c r="AY361" s="363"/>
      <c r="AZ361" s="363"/>
      <c r="BA361" s="363"/>
      <c r="BB361" s="363"/>
      <c r="BC361" s="363"/>
      <c r="BD361" s="363"/>
      <c r="BE361" s="363"/>
      <c r="BF361" s="363"/>
      <c r="BG361" s="363"/>
      <c r="BH361" s="363"/>
      <c r="BI361" s="363"/>
      <c r="BJ361" s="363"/>
      <c r="BK361" s="363"/>
      <c r="BL361" s="363"/>
      <c r="BM361" s="363"/>
      <c r="BN361" s="363"/>
      <c r="BO361" s="363"/>
      <c r="BP361" s="363"/>
      <c r="BQ361" s="363"/>
      <c r="BR361" s="363"/>
      <c r="BS361" s="363"/>
      <c r="BT361" s="363"/>
      <c r="BU361" s="363"/>
      <c r="BV361" s="363"/>
    </row>
    <row r="362" spans="1:74" ht="15" x14ac:dyDescent="0.25">
      <c r="A362" s="363"/>
      <c r="B362" s="363"/>
      <c r="C362" s="363"/>
      <c r="D362" s="363"/>
      <c r="E362" s="363"/>
      <c r="F362" s="363"/>
      <c r="G362" s="363"/>
      <c r="H362" s="363"/>
      <c r="I362" s="363"/>
      <c r="J362" s="363"/>
      <c r="K362" s="363"/>
      <c r="L362" s="363"/>
      <c r="M362" s="363"/>
      <c r="N362" s="363"/>
      <c r="O362" s="363"/>
      <c r="P362" s="363"/>
      <c r="Q362" s="363"/>
      <c r="R362" s="363"/>
      <c r="S362" s="363"/>
      <c r="T362" s="363"/>
      <c r="U362" s="363"/>
      <c r="V362" s="363"/>
      <c r="W362" s="363"/>
      <c r="X362" s="363"/>
      <c r="Y362" s="363"/>
      <c r="Z362" s="363"/>
      <c r="AA362" s="363"/>
      <c r="AB362" s="363"/>
      <c r="AC362" s="363"/>
      <c r="AD362" s="363"/>
      <c r="AE362" s="363"/>
      <c r="AF362" s="363"/>
      <c r="AG362" s="363"/>
      <c r="AH362" s="363"/>
      <c r="AI362" s="363"/>
      <c r="AJ362" s="363"/>
      <c r="AK362" s="363"/>
      <c r="AL362" s="363"/>
      <c r="AM362" s="363"/>
      <c r="AN362" s="363"/>
      <c r="AO362" s="363"/>
      <c r="AP362" s="363"/>
      <c r="AQ362" s="363"/>
      <c r="AR362" s="363"/>
      <c r="AS362" s="363"/>
      <c r="AT362" s="363"/>
      <c r="AU362" s="363"/>
      <c r="AV362" s="363"/>
      <c r="AW362" s="363"/>
      <c r="AX362" s="363"/>
      <c r="AY362" s="363"/>
      <c r="AZ362" s="363"/>
      <c r="BA362" s="363"/>
      <c r="BB362" s="363"/>
      <c r="BC362" s="363"/>
      <c r="BD362" s="363"/>
      <c r="BE362" s="363"/>
      <c r="BF362" s="363"/>
      <c r="BG362" s="363"/>
      <c r="BH362" s="363"/>
      <c r="BI362" s="363"/>
      <c r="BJ362" s="363"/>
      <c r="BK362" s="363"/>
      <c r="BL362" s="363"/>
      <c r="BM362" s="363"/>
      <c r="BN362" s="363"/>
      <c r="BO362" s="363"/>
      <c r="BP362" s="363"/>
      <c r="BQ362" s="363"/>
      <c r="BR362" s="363"/>
      <c r="BS362" s="363"/>
      <c r="BT362" s="363"/>
      <c r="BU362" s="363"/>
      <c r="BV362" s="363"/>
    </row>
  </sheetData>
  <sheetProtection password="C921" sheet="1" objects="1" scenarios="1"/>
  <mergeCells count="126">
    <mergeCell ref="P3:P4"/>
    <mergeCell ref="Q3:Q4"/>
    <mergeCell ref="R3:R4"/>
    <mergeCell ref="S3:S4"/>
    <mergeCell ref="AF3:AF4"/>
    <mergeCell ref="AG3:AG4"/>
    <mergeCell ref="Z3:Z4"/>
    <mergeCell ref="AA3:AA4"/>
    <mergeCell ref="AB3:AB4"/>
    <mergeCell ref="AC3:AC4"/>
    <mergeCell ref="AD3:AD4"/>
    <mergeCell ref="AE3:AE4"/>
    <mergeCell ref="A1:BV2"/>
    <mergeCell ref="A3:A4"/>
    <mergeCell ref="B3:B4"/>
    <mergeCell ref="C3:C4"/>
    <mergeCell ref="E3:E4"/>
    <mergeCell ref="F3:I3"/>
    <mergeCell ref="J3:J4"/>
    <mergeCell ref="K3:K4"/>
    <mergeCell ref="L3:L4"/>
    <mergeCell ref="M3:M4"/>
    <mergeCell ref="T3:T4"/>
    <mergeCell ref="U3:U4"/>
    <mergeCell ref="V3:V4"/>
    <mergeCell ref="W3:W4"/>
    <mergeCell ref="X3:X4"/>
    <mergeCell ref="Y3:Y4"/>
    <mergeCell ref="N3:N4"/>
    <mergeCell ref="O3:O4"/>
    <mergeCell ref="AL3:AL4"/>
    <mergeCell ref="AM3:AM4"/>
    <mergeCell ref="AN3:AN4"/>
    <mergeCell ref="AO3:AO4"/>
    <mergeCell ref="AP3:AP4"/>
    <mergeCell ref="AQ3:AQ4"/>
    <mergeCell ref="AH3:AH4"/>
    <mergeCell ref="AI3:AI4"/>
    <mergeCell ref="AJ3:AJ4"/>
    <mergeCell ref="AK3:AK4"/>
    <mergeCell ref="BH3:BH4"/>
    <mergeCell ref="BI3:BI4"/>
    <mergeCell ref="AX3:AX4"/>
    <mergeCell ref="AY3:AY4"/>
    <mergeCell ref="AZ3:AZ4"/>
    <mergeCell ref="BA3:BA4"/>
    <mergeCell ref="BB3:BB4"/>
    <mergeCell ref="BC3:BC4"/>
    <mergeCell ref="AR3:AR4"/>
    <mergeCell ref="AS3:AS4"/>
    <mergeCell ref="AT3:AT4"/>
    <mergeCell ref="AU3:AU4"/>
    <mergeCell ref="AV3:AV4"/>
    <mergeCell ref="AW3:AW4"/>
    <mergeCell ref="BV3:BV4"/>
    <mergeCell ref="A6:C6"/>
    <mergeCell ref="A72:A75"/>
    <mergeCell ref="C72:C75"/>
    <mergeCell ref="D72:D74"/>
    <mergeCell ref="A76:A78"/>
    <mergeCell ref="C76:C78"/>
    <mergeCell ref="D76:D78"/>
    <mergeCell ref="BP3:BP4"/>
    <mergeCell ref="BQ3:BQ4"/>
    <mergeCell ref="BR3:BR4"/>
    <mergeCell ref="BS3:BS4"/>
    <mergeCell ref="BT3:BT4"/>
    <mergeCell ref="BU3:BU4"/>
    <mergeCell ref="BJ3:BJ4"/>
    <mergeCell ref="BK3:BK4"/>
    <mergeCell ref="BL3:BL4"/>
    <mergeCell ref="BM3:BM4"/>
    <mergeCell ref="BN3:BN4"/>
    <mergeCell ref="BO3:BO4"/>
    <mergeCell ref="BD3:BD4"/>
    <mergeCell ref="BE3:BE4"/>
    <mergeCell ref="BF3:BF4"/>
    <mergeCell ref="BG3:BG4"/>
    <mergeCell ref="D228:D230"/>
    <mergeCell ref="A255:B255"/>
    <mergeCell ref="A200:B200"/>
    <mergeCell ref="A201:B201"/>
    <mergeCell ref="A202:B202"/>
    <mergeCell ref="A203:B203"/>
    <mergeCell ref="A204:B204"/>
    <mergeCell ref="A205:B205"/>
    <mergeCell ref="A158:A160"/>
    <mergeCell ref="C158:C160"/>
    <mergeCell ref="D158:D160"/>
    <mergeCell ref="A179:A181"/>
    <mergeCell ref="C179:C181"/>
    <mergeCell ref="D179:D181"/>
    <mergeCell ref="A256:B256"/>
    <mergeCell ref="A257:B257"/>
    <mergeCell ref="A258:B258"/>
    <mergeCell ref="A259:B259"/>
    <mergeCell ref="A260:B260"/>
    <mergeCell ref="A261:B261"/>
    <mergeCell ref="A206:B206"/>
    <mergeCell ref="A207:B207"/>
    <mergeCell ref="A208:C208"/>
    <mergeCell ref="A228:A230"/>
    <mergeCell ref="A304:B304"/>
    <mergeCell ref="A305:B305"/>
    <mergeCell ref="A306:B306"/>
    <mergeCell ref="A309:B309"/>
    <mergeCell ref="A310:B310"/>
    <mergeCell ref="A311:B311"/>
    <mergeCell ref="A262:B262"/>
    <mergeCell ref="A263:C263"/>
    <mergeCell ref="A280:B280"/>
    <mergeCell ref="A281:B281"/>
    <mergeCell ref="A282:B282"/>
    <mergeCell ref="A283:B283"/>
    <mergeCell ref="A322:B322"/>
    <mergeCell ref="A323:B323"/>
    <mergeCell ref="A326:C326"/>
    <mergeCell ref="A327:B327"/>
    <mergeCell ref="A328:B328"/>
    <mergeCell ref="A330:B330"/>
    <mergeCell ref="A312:B312"/>
    <mergeCell ref="A316:B316"/>
    <mergeCell ref="A317:B317"/>
    <mergeCell ref="A319:B319"/>
    <mergeCell ref="A320:B320"/>
    <mergeCell ref="A321:B321"/>
  </mergeCells>
  <pageMargins left="0.19685039370078741" right="0.19685039370078741" top="0.19685039370078741" bottom="0.19685039370078741" header="0.31496062992125984" footer="0.31496062992125984"/>
  <pageSetup paperSize="9" scale="1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ВСЕ этапы</vt:lpstr>
      <vt:lpstr>Лист1</vt:lpstr>
      <vt:lpstr>Лист2</vt:lpstr>
      <vt:lpstr>1 и 2 этап (2)</vt:lpstr>
      <vt:lpstr>Лист3</vt:lpstr>
      <vt:lpstr>Лист4</vt:lpstr>
      <vt:lpstr>янв-март 2022</vt:lpstr>
      <vt:lpstr>Лист5</vt:lpstr>
      <vt:lpstr>'1 и 2 этап (2)'!Заголовки_для_печати</vt:lpstr>
      <vt:lpstr>'ВСЕ этапы'!Заголовки_для_печати</vt:lpstr>
      <vt:lpstr>'1 и 2 этап (2)'!Область_печати</vt:lpstr>
      <vt:lpstr>'ВСЕ этапы'!Область_печати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2022-05-12T11:30:59Z</dcterms:modified>
</cp:coreProperties>
</file>