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921" lockStructure="1"/>
  <bookViews>
    <workbookView xWindow="0" yWindow="825" windowWidth="11340" windowHeight="3210"/>
  </bookViews>
  <sheets>
    <sheet name="на 01.07.19 " sheetId="40" r:id="rId1"/>
  </sheets>
  <calcPr calcId="145621"/>
</workbook>
</file>

<file path=xl/calcChain.xml><?xml version="1.0" encoding="utf-8"?>
<calcChain xmlns="http://schemas.openxmlformats.org/spreadsheetml/2006/main">
  <c r="AB72" i="40" l="1"/>
  <c r="AA72" i="40"/>
  <c r="Z72" i="40"/>
  <c r="Y72" i="40"/>
  <c r="X72" i="40"/>
  <c r="W72" i="40"/>
  <c r="V72" i="40"/>
  <c r="U72" i="40"/>
  <c r="T72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AB71" i="40"/>
  <c r="AA71" i="40"/>
  <c r="Z71" i="40"/>
  <c r="Y71" i="40"/>
  <c r="X71" i="40"/>
  <c r="W71" i="40"/>
  <c r="V71" i="40"/>
  <c r="U71" i="40"/>
  <c r="T71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AC68" i="40"/>
  <c r="AB68" i="40"/>
  <c r="AA68" i="40"/>
  <c r="Z68" i="40"/>
  <c r="Y68" i="40"/>
  <c r="X68" i="40"/>
  <c r="W68" i="40"/>
  <c r="V68" i="40"/>
  <c r="U68" i="40"/>
  <c r="T68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D68" i="40"/>
  <c r="AB67" i="40"/>
  <c r="AA67" i="40"/>
  <c r="Z67" i="40"/>
  <c r="Y67" i="40"/>
  <c r="X67" i="40"/>
  <c r="W67" i="40"/>
  <c r="V67" i="40"/>
  <c r="U67" i="40"/>
  <c r="T67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AC66" i="40"/>
  <c r="AB66" i="40"/>
  <c r="AA66" i="40"/>
  <c r="Z66" i="40"/>
  <c r="Y66" i="40"/>
  <c r="X66" i="40"/>
  <c r="W66" i="40"/>
  <c r="V66" i="40"/>
  <c r="U66" i="40"/>
  <c r="T66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AC65" i="40"/>
  <c r="AB65" i="40"/>
  <c r="AA65" i="40"/>
  <c r="Z65" i="40"/>
  <c r="Y65" i="40"/>
  <c r="X65" i="40"/>
  <c r="W65" i="40"/>
  <c r="V65" i="40"/>
  <c r="U65" i="40"/>
  <c r="T65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AE56" i="40"/>
  <c r="AD56" i="40"/>
  <c r="AC56" i="40"/>
  <c r="AE55" i="40"/>
  <c r="AD55" i="40"/>
  <c r="AC55" i="40"/>
  <c r="AE54" i="40"/>
  <c r="AE72" i="40" s="1"/>
  <c r="AD54" i="40"/>
  <c r="AD72" i="40" s="1"/>
  <c r="AC54" i="40"/>
  <c r="AC72" i="40" s="1"/>
  <c r="AE53" i="40"/>
  <c r="AD53" i="40"/>
  <c r="AC53" i="40"/>
  <c r="AE52" i="40"/>
  <c r="AD52" i="40"/>
  <c r="AC52" i="40"/>
  <c r="AE51" i="40"/>
  <c r="AD51" i="40"/>
  <c r="AC51" i="40"/>
  <c r="AE50" i="40"/>
  <c r="AD50" i="40"/>
  <c r="AC50" i="40"/>
  <c r="AE49" i="40"/>
  <c r="AD49" i="40"/>
  <c r="AC49" i="40"/>
  <c r="AF49" i="40" s="1"/>
  <c r="AB49" i="40"/>
  <c r="AA49" i="40"/>
  <c r="D49" i="40"/>
  <c r="AF48" i="40"/>
  <c r="AE47" i="40"/>
  <c r="AF47" i="40" s="1"/>
  <c r="AF46" i="40" s="1"/>
  <c r="AD47" i="40"/>
  <c r="AD46" i="40"/>
  <c r="AC46" i="40"/>
  <c r="T46" i="40"/>
  <c r="S46" i="40"/>
  <c r="D46" i="40"/>
  <c r="AE45" i="40"/>
  <c r="AF45" i="40" s="1"/>
  <c r="AD45" i="40"/>
  <c r="AE44" i="40"/>
  <c r="AD44" i="40"/>
  <c r="AC44" i="40"/>
  <c r="AF44" i="40" s="1"/>
  <c r="AE43" i="40"/>
  <c r="AD43" i="40"/>
  <c r="AC43" i="40"/>
  <c r="AF43" i="40" s="1"/>
  <c r="AF42" i="40"/>
  <c r="AE42" i="40"/>
  <c r="AD42" i="40"/>
  <c r="AE41" i="40"/>
  <c r="AF41" i="40" s="1"/>
  <c r="AD41" i="40"/>
  <c r="AD40" i="40"/>
  <c r="AC40" i="40"/>
  <c r="AC71" i="40" s="1"/>
  <c r="AB40" i="40"/>
  <c r="AB63" i="40" s="1"/>
  <c r="AA40" i="40"/>
  <c r="AA63" i="40" s="1"/>
  <c r="Z40" i="40"/>
  <c r="Z63" i="40" s="1"/>
  <c r="Y40" i="40"/>
  <c r="Y63" i="40" s="1"/>
  <c r="X40" i="40"/>
  <c r="X63" i="40" s="1"/>
  <c r="W40" i="40"/>
  <c r="W63" i="40" s="1"/>
  <c r="V40" i="40"/>
  <c r="V63" i="40" s="1"/>
  <c r="U40" i="40"/>
  <c r="U63" i="40" s="1"/>
  <c r="T40" i="40"/>
  <c r="T63" i="40" s="1"/>
  <c r="S40" i="40"/>
  <c r="S63" i="40" s="1"/>
  <c r="D40" i="40"/>
  <c r="D71" i="40" s="1"/>
  <c r="AF39" i="40"/>
  <c r="AF38" i="40"/>
  <c r="AE38" i="40"/>
  <c r="AD38" i="40"/>
  <c r="AC38" i="40"/>
  <c r="H38" i="40"/>
  <c r="G38" i="40"/>
  <c r="D38" i="40"/>
  <c r="AE37" i="40"/>
  <c r="AF36" i="40"/>
  <c r="AF35" i="40" s="1"/>
  <c r="AE36" i="40"/>
  <c r="AD36" i="40"/>
  <c r="AD35" i="40" s="1"/>
  <c r="AE35" i="40"/>
  <c r="AC35" i="40"/>
  <c r="H35" i="40"/>
  <c r="G35" i="40"/>
  <c r="D35" i="40"/>
  <c r="AD34" i="40"/>
  <c r="AF33" i="40"/>
  <c r="AD33" i="40"/>
  <c r="AE32" i="40"/>
  <c r="AD32" i="40"/>
  <c r="AE31" i="40"/>
  <c r="AF31" i="40" s="1"/>
  <c r="AD31" i="40"/>
  <c r="AE30" i="40"/>
  <c r="AD30" i="40"/>
  <c r="AE29" i="40"/>
  <c r="AE69" i="40" s="1"/>
  <c r="AD29" i="40"/>
  <c r="AD69" i="40" s="1"/>
  <c r="AF28" i="40"/>
  <c r="AE28" i="40"/>
  <c r="AD28" i="40"/>
  <c r="AE27" i="40"/>
  <c r="AD27" i="40"/>
  <c r="AE26" i="40"/>
  <c r="AD26" i="40"/>
  <c r="AE25" i="40"/>
  <c r="AE71" i="40" s="1"/>
  <c r="AD25" i="40"/>
  <c r="AD71" i="40" s="1"/>
  <c r="D25" i="40"/>
  <c r="D69" i="40" s="1"/>
  <c r="F24" i="40"/>
  <c r="AE24" i="40" s="1"/>
  <c r="AE68" i="40" s="1"/>
  <c r="E24" i="40"/>
  <c r="E68" i="40" s="1"/>
  <c r="AE23" i="40"/>
  <c r="AD23" i="40"/>
  <c r="AE22" i="40"/>
  <c r="AE67" i="40" s="1"/>
  <c r="AD22" i="40"/>
  <c r="AD67" i="40" s="1"/>
  <c r="AE21" i="40"/>
  <c r="AD21" i="40"/>
  <c r="AE20" i="40"/>
  <c r="AF20" i="40" s="1"/>
  <c r="AD20" i="40"/>
  <c r="AC19" i="40"/>
  <c r="J19" i="40"/>
  <c r="J63" i="40" s="1"/>
  <c r="I19" i="40"/>
  <c r="I63" i="40" s="1"/>
  <c r="H19" i="40"/>
  <c r="H63" i="40" s="1"/>
  <c r="G19" i="40"/>
  <c r="G63" i="40" s="1"/>
  <c r="F19" i="40"/>
  <c r="E19" i="40"/>
  <c r="D19" i="40"/>
  <c r="AE18" i="40"/>
  <c r="AF18" i="40" s="1"/>
  <c r="AF17" i="40" s="1"/>
  <c r="AD18" i="40"/>
  <c r="AD17" i="40"/>
  <c r="AC17" i="40"/>
  <c r="N17" i="40"/>
  <c r="M17" i="40"/>
  <c r="D17" i="40"/>
  <c r="AE16" i="40"/>
  <c r="AF16" i="40" s="1"/>
  <c r="AF15" i="40" s="1"/>
  <c r="AD16" i="40"/>
  <c r="AD15" i="40"/>
  <c r="AC15" i="40"/>
  <c r="N15" i="40"/>
  <c r="N63" i="40" s="1"/>
  <c r="M15" i="40"/>
  <c r="M63" i="40" s="1"/>
  <c r="D15" i="40"/>
  <c r="AE14" i="40"/>
  <c r="AF14" i="40" s="1"/>
  <c r="AF13" i="40" s="1"/>
  <c r="AD14" i="40"/>
  <c r="AD13" i="40"/>
  <c r="AC13" i="40"/>
  <c r="P13" i="40"/>
  <c r="P63" i="40" s="1"/>
  <c r="O13" i="40"/>
  <c r="O63" i="40" s="1"/>
  <c r="D13" i="40"/>
  <c r="AE12" i="40"/>
  <c r="AF12" i="40" s="1"/>
  <c r="AF11" i="40" s="1"/>
  <c r="AD12" i="40"/>
  <c r="AD11" i="40"/>
  <c r="AC11" i="40"/>
  <c r="R11" i="40"/>
  <c r="R63" i="40" s="1"/>
  <c r="Q11" i="40"/>
  <c r="Q63" i="40" s="1"/>
  <c r="D11" i="40"/>
  <c r="AE10" i="40"/>
  <c r="AE66" i="40" s="1"/>
  <c r="AD10" i="40"/>
  <c r="AD66" i="40" s="1"/>
  <c r="AE9" i="40"/>
  <c r="AF9" i="40" s="1"/>
  <c r="AF8" i="40" s="1"/>
  <c r="AD9" i="40"/>
  <c r="AD8" i="40"/>
  <c r="AC8" i="40"/>
  <c r="F8" i="40"/>
  <c r="F63" i="40" s="1"/>
  <c r="E8" i="40"/>
  <c r="E63" i="40" s="1"/>
  <c r="D8" i="40"/>
  <c r="AE7" i="40"/>
  <c r="AE65" i="40" s="1"/>
  <c r="AD7" i="40"/>
  <c r="AD65" i="40" s="1"/>
  <c r="AD6" i="40"/>
  <c r="AC6" i="40"/>
  <c r="AC63" i="40" s="1"/>
  <c r="L6" i="40"/>
  <c r="L63" i="40" s="1"/>
  <c r="K6" i="40"/>
  <c r="K63" i="40" s="1"/>
  <c r="D6" i="40"/>
  <c r="D63" i="40" s="1"/>
  <c r="AC73" i="40" l="1"/>
  <c r="AC70" i="40"/>
  <c r="Q73" i="40"/>
  <c r="Q70" i="40"/>
  <c r="P73" i="40"/>
  <c r="P70" i="40"/>
  <c r="M73" i="40"/>
  <c r="M70" i="40"/>
  <c r="G73" i="40"/>
  <c r="G70" i="40"/>
  <c r="I73" i="40"/>
  <c r="I70" i="40"/>
  <c r="S73" i="40"/>
  <c r="S70" i="40"/>
  <c r="U73" i="40"/>
  <c r="U70" i="40"/>
  <c r="W73" i="40"/>
  <c r="W70" i="40"/>
  <c r="Y73" i="40"/>
  <c r="Y70" i="40"/>
  <c r="AA73" i="40"/>
  <c r="AA70" i="40"/>
  <c r="K73" i="40"/>
  <c r="K70" i="40"/>
  <c r="D73" i="40"/>
  <c r="D70" i="40"/>
  <c r="L73" i="40"/>
  <c r="L70" i="40"/>
  <c r="E73" i="40"/>
  <c r="E70" i="40"/>
  <c r="R73" i="40"/>
  <c r="R70" i="40"/>
  <c r="O73" i="40"/>
  <c r="O70" i="40"/>
  <c r="N73" i="40"/>
  <c r="N70" i="40"/>
  <c r="H73" i="40"/>
  <c r="H70" i="40"/>
  <c r="J73" i="40"/>
  <c r="J70" i="40"/>
  <c r="T73" i="40"/>
  <c r="T70" i="40"/>
  <c r="V73" i="40"/>
  <c r="V70" i="40"/>
  <c r="X73" i="40"/>
  <c r="X70" i="40"/>
  <c r="Z73" i="40"/>
  <c r="Z70" i="40"/>
  <c r="AB73" i="40"/>
  <c r="AB70" i="40"/>
  <c r="AF40" i="40"/>
  <c r="AD24" i="40"/>
  <c r="F68" i="40"/>
  <c r="F73" i="40" s="1"/>
  <c r="AE6" i="40"/>
  <c r="AF7" i="40"/>
  <c r="AF6" i="40" s="1"/>
  <c r="AE8" i="40"/>
  <c r="AE11" i="40"/>
  <c r="AE13" i="40"/>
  <c r="AE15" i="40"/>
  <c r="AE17" i="40"/>
  <c r="AE19" i="40"/>
  <c r="AF25" i="40"/>
  <c r="AF19" i="40" s="1"/>
  <c r="AE40" i="40"/>
  <c r="AE46" i="40"/>
  <c r="AE63" i="40" l="1"/>
  <c r="AD68" i="40"/>
  <c r="AD19" i="40"/>
  <c r="AD63" i="40" s="1"/>
  <c r="F70" i="40"/>
  <c r="AF63" i="40"/>
  <c r="AD73" i="40" l="1"/>
  <c r="AD70" i="40"/>
  <c r="AE73" i="40"/>
  <c r="AE70" i="40"/>
</calcChain>
</file>

<file path=xl/sharedStrings.xml><?xml version="1.0" encoding="utf-8"?>
<sst xmlns="http://schemas.openxmlformats.org/spreadsheetml/2006/main" count="176" uniqueCount="133">
  <si>
    <t>№ и дата контракта / договора</t>
  </si>
  <si>
    <t>Всего</t>
  </si>
  <si>
    <t>ООО "Альфа-РС"</t>
  </si>
  <si>
    <t>ЗАО "СТС Форум"</t>
  </si>
  <si>
    <t>Разработка рабочей документации по объекту "Капитальный ремонт кровли"</t>
  </si>
  <si>
    <t>13-005 от 29.04.13</t>
  </si>
  <si>
    <t>Проверка сметной стоимости капитальный ремонт кровли здания МАУ "ГДК" 1пусковой</t>
  </si>
  <si>
    <t>1119-р от 24.07.13</t>
  </si>
  <si>
    <t>Проверка сметной стоимости капитальный ремонт кровли здания МАУ "ГДК" 2,3пусковой</t>
  </si>
  <si>
    <t>1262-6 от 19.08.13</t>
  </si>
  <si>
    <t>Поставка комплекта дымовые люки с блок. Автом д/кровли</t>
  </si>
  <si>
    <t>30/П-13 от 20.06.13</t>
  </si>
  <si>
    <t>Срок исполнения контракта / договора</t>
  </si>
  <si>
    <t>Цена контракта / договора</t>
  </si>
  <si>
    <t>Государственное унитарное предприятие Республики Коми "Коми республиканский Центр по информации и индексации в строительстве"</t>
  </si>
  <si>
    <t>Остаток по контракту / договору</t>
  </si>
  <si>
    <t>Лимит</t>
  </si>
  <si>
    <t>Расход</t>
  </si>
  <si>
    <t>2012 год</t>
  </si>
  <si>
    <t>2013 год</t>
  </si>
  <si>
    <t>2015 год</t>
  </si>
  <si>
    <t xml:space="preserve">Итого </t>
  </si>
  <si>
    <t>в том числе</t>
  </si>
  <si>
    <t xml:space="preserve">2014 год </t>
  </si>
  <si>
    <t>проверка</t>
  </si>
  <si>
    <t>2012</t>
  </si>
  <si>
    <t>ООО "Комистройпроект"</t>
  </si>
  <si>
    <t>ООО "Люки дымоудаление Саламандра"</t>
  </si>
  <si>
    <t>Проектно-изыскательские работы по реконструкции здания</t>
  </si>
  <si>
    <t xml:space="preserve">№ 11-17/443 от 01.01.2012 </t>
  </si>
  <si>
    <t>Ремонт выставочного зала с перепрофилированием под танцевальный зал</t>
  </si>
  <si>
    <t>№ 07/07/12 от 31.07.2012 (цена контракта - на основании акта сверки)</t>
  </si>
  <si>
    <t>Капитальный ремонт кровли 1-го пускового комплекса и 2 -го пускового комплекса</t>
  </si>
  <si>
    <t>Лимит (ПФХД)</t>
  </si>
  <si>
    <t>Предмет контракта</t>
  </si>
  <si>
    <t>№ 01/07/13 от 01.07.2013</t>
  </si>
  <si>
    <t>2016 год</t>
  </si>
  <si>
    <t>рублей</t>
  </si>
  <si>
    <t>№03/ЕУ-К от 17.12.15г.</t>
  </si>
  <si>
    <t>ООО "Техинвест"</t>
  </si>
  <si>
    <t>31.12.2012 года</t>
  </si>
  <si>
    <t>01.11.2012 года</t>
  </si>
  <si>
    <t>30.06.2013 года</t>
  </si>
  <si>
    <t>22.07.2013 года</t>
  </si>
  <si>
    <t>31.12.2013</t>
  </si>
  <si>
    <t>31.12.2013 года</t>
  </si>
  <si>
    <t>2016 год (Республиканский бюджет остаток ПФХД) 2 пусковой комплекс</t>
  </si>
  <si>
    <t xml:space="preserve">2013 год (Республиканский бюджет) </t>
  </si>
  <si>
    <t>2013 год (местный бюджет)</t>
  </si>
  <si>
    <t xml:space="preserve">2014 год (Республиканский бюджет остаток ПФХД) </t>
  </si>
  <si>
    <t xml:space="preserve">2014 год (местный бюджет) </t>
  </si>
  <si>
    <t xml:space="preserve">2015 год (Республиканский бюджет остаток ПФХД) </t>
  </si>
  <si>
    <t>2015год (Республиканский бюджет остаток ПФХД) остаток 2 пуск комплекс</t>
  </si>
  <si>
    <t>до 20.05.16г.</t>
  </si>
  <si>
    <t>04/ОА-10-2016</t>
  </si>
  <si>
    <t>до 16.12.16г.</t>
  </si>
  <si>
    <t xml:space="preserve">2017 год </t>
  </si>
  <si>
    <t xml:space="preserve">2016 год (нераспределенный лимит (ПФХД) </t>
  </si>
  <si>
    <t xml:space="preserve">Примечание: </t>
  </si>
  <si>
    <t>1 пусковой  -             8 321 750 руб. (31.08.2015 года);        2 пусковой -                      5 696 310 руб. (18.11.2015 года) контракт уменьшен на сумму исполнительного листа</t>
  </si>
  <si>
    <t>по делу от 09.09.2016 № А29-9653/2015</t>
  </si>
  <si>
    <t>2017 год (местный бюджет) 2 второй пусковой комплекс) - остаток средств 2016)</t>
  </si>
  <si>
    <t>2016 год (местный бюджет) 2 второй пусковой комплекс</t>
  </si>
  <si>
    <t>2017 год (местный бюджет) 3 третий пусковой комплекс</t>
  </si>
  <si>
    <t>ООО "АС-СТРОЙ"</t>
  </si>
  <si>
    <t xml:space="preserve">Капитальный ремонт кровли 3-го пускового комплекса </t>
  </si>
  <si>
    <t>0107300001217000167-0161113-02 от 22.05.2017г.</t>
  </si>
  <si>
    <t>7</t>
  </si>
  <si>
    <t>10</t>
  </si>
  <si>
    <t>13</t>
  </si>
  <si>
    <t>16</t>
  </si>
  <si>
    <t>Информация по объекту "Капитальный, текущий ремонт ГДК и кровли ГДК"</t>
  </si>
  <si>
    <t>2017 год (местный бюджет) 3 второй пусковой комплекс) - остаток средств 2016)</t>
  </si>
  <si>
    <t>№ 03/17-Др</t>
  </si>
  <si>
    <t>не позднее 01.08.2017</t>
  </si>
  <si>
    <t>04/17СтБ от 14.06.2017</t>
  </si>
  <si>
    <t>до 04.08.2017г.</t>
  </si>
  <si>
    <t>ООО "Партнер-Союз"</t>
  </si>
  <si>
    <t>01/17 от 15.05.2017</t>
  </si>
  <si>
    <t>до 30.08.2017</t>
  </si>
  <si>
    <t>до 08.06.2017</t>
  </si>
  <si>
    <t>ИП Мусиенко О.В.</t>
  </si>
  <si>
    <t>1 от 10.05.2017</t>
  </si>
  <si>
    <t>до 05.06.2017</t>
  </si>
  <si>
    <t>Проведение работ по ремонту кулуара фойе 2-го этажа здания МАУ "Городской ДК" МОГО "Ухта" (республиканский бюджет, ГРАНТ)</t>
  </si>
  <si>
    <t>Текущий ремонт поверхностей горизонтального и вертикального стилобата, крылец, ступеней, козырьков, устройство пандуса, устройство защитного ограждения выхода № 8 здания МАУ "Городской ДК" МОГО "Ухта" (республиканский бюджет,ГРАНТ)</t>
  </si>
  <si>
    <t>до 19.08.2017</t>
  </si>
  <si>
    <t>2017 год, Проведение работ по ремонту кулуара фойе 2-го этажа здания МАУ"Городской ДК"МОГО "Ухта"</t>
  </si>
  <si>
    <t>2017 год, Приобретение товарно-материальных ценностей для проведение работ по ремонту кулуара фойе 2-го этажа здания МАУ"Городской ДК"МОГО "Ухта"</t>
  </si>
  <si>
    <t>2017 год, Приобретение электротехнической продукции(светодиодные панели)для проведения работ по ремонту кулуара фойе 2-го этажа здания МАУ"Городской ДК"МОГО "Ухта"</t>
  </si>
  <si>
    <t>2017 год, Текущий ремонт поверхностей горизонтального и вертикального стилобата,крылец,ступеней,козырьков,устройство пандуса,устройство защитного ограждения выхода №8 здания МАУ "Городской ДК"МОГО "Ухта"</t>
  </si>
  <si>
    <t>03/17 от 10.07.2017</t>
  </si>
  <si>
    <t>02/17 от 15.05.2017</t>
  </si>
  <si>
    <t>ИП Кулешов Д.А.</t>
  </si>
  <si>
    <t>04/17 от 07.07.2017</t>
  </si>
  <si>
    <t>до 26.07.2017</t>
  </si>
  <si>
    <t>ООО "Прогресс"</t>
  </si>
  <si>
    <t>32</t>
  </si>
  <si>
    <t xml:space="preserve">2017 Исполнительный лист </t>
  </si>
  <si>
    <t xml:space="preserve">2017 Исполнительный лист (внебюджет) </t>
  </si>
  <si>
    <t xml:space="preserve">2017 Исполнительный лист (муниципальное задание) </t>
  </si>
  <si>
    <t>В итоговой строке 2017 г. кроме субсидии на иные цели включены суммы лимитов и расходов за счет средств внебюджета - 52 726 руб., за счет субсидии на муниципальное задание - 206 000,06 руб.</t>
  </si>
  <si>
    <t>2017 год (местный бюджет) 1,2  пусковой комплексы</t>
  </si>
  <si>
    <t>06-др от 24.11.2017 г.</t>
  </si>
  <si>
    <t xml:space="preserve">Капитальный ремонт кровли1-го,2-го пускового комплексов </t>
  </si>
  <si>
    <t>до 24.12.2017</t>
  </si>
  <si>
    <t>Текущий ремонт лестницы здания МАУ "Городской ДК" МОГО "Ухта" по адресу: г. Ухта, пр-т Ленина, д.26</t>
  </si>
  <si>
    <t>2017 год,  Приобретение товарно-материальных ценностей</t>
  </si>
  <si>
    <t>2018 год,  Приобретение товарно-материальных ценностей</t>
  </si>
  <si>
    <t>2017 год,  Общестроительные работы</t>
  </si>
  <si>
    <t>2017 год,  Сантехмонтажные работы</t>
  </si>
  <si>
    <t>2017 год,  Электротехнические работы</t>
  </si>
  <si>
    <t>05/17 от 03.10.2017</t>
  </si>
  <si>
    <t>06/17 от 03.10.2017</t>
  </si>
  <si>
    <t>07/17 от 03.10.2017</t>
  </si>
  <si>
    <t>08/17 от 03.10.2017</t>
  </si>
  <si>
    <t>до 31.12.2017 г.</t>
  </si>
  <si>
    <t>до 31.10.2017 г.</t>
  </si>
  <si>
    <t>2017 год, (зарезервированный лимит на договора 2018 года - приобретение ТМЦ и общестроительные работы по текущему ремонту лестницы, местный бюджет)</t>
  </si>
  <si>
    <t>ИП Серегин М.И.</t>
  </si>
  <si>
    <t>2018 год,  Общестроительные работы</t>
  </si>
  <si>
    <t>01/18 от 10.01.2018</t>
  </si>
  <si>
    <t>02/18 от 10.01.2018</t>
  </si>
  <si>
    <t>до 30.01.2018 г.</t>
  </si>
  <si>
    <t>03/17 от 03.10.2017</t>
  </si>
  <si>
    <t xml:space="preserve">2018 год </t>
  </si>
  <si>
    <t>2018 год (местный бюджет) 2 второй пусковой комплекс) - остаток средств 2017)</t>
  </si>
  <si>
    <t>Доп соглашение №5 от 04.10.2017. к дог 04/17/СтБ от 14.06.2017</t>
  </si>
  <si>
    <t>2017 год. (нераспределенный лимит (ПФХД), местный бюджет)</t>
  </si>
  <si>
    <t>2018 год. (нераспределенный лимит (ПФХД), местный бюджет - остаток средств 2017 года)</t>
  </si>
  <si>
    <t>2019 год. (нераспределенный лимит (ПФХД), местный бюджет - остаток средств 2017 года) - возврат в бюджет</t>
  </si>
  <si>
    <t>В 2019г. на текущий ремонт поверхностей горизонтального и вертикального стилобата,крылец,ступеней,козырьков,устройство пандуса,устройство защитного ограждения выхода №8 здания МАУ "Городской ДК"МОГО "Ухта" необходимо дополнительно по доп. работам 1 428 818,00 руб.</t>
  </si>
  <si>
    <t>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</si>
</sst>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4" fontId="1" fillId="2" borderId="0" xfId="0" applyNumberFormat="1" applyFont="1" applyFill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4" xfId="0" applyNumberFormat="1" applyFont="1" applyFill="1" applyBorder="1" applyAlignment="1" applyProtection="1">
      <alignment horizontal="center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top" wrapText="1"/>
      <protection hidden="1"/>
    </xf>
    <xf numFmtId="49" fontId="1" fillId="2" borderId="0" xfId="0" applyNumberFormat="1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49" fontId="5" fillId="2" borderId="0" xfId="0" applyNumberFormat="1" applyFont="1" applyFill="1" applyAlignment="1" applyProtection="1">
      <alignment horizontal="center" vertical="center"/>
      <protection hidden="1"/>
    </xf>
    <xf numFmtId="4" fontId="5" fillId="2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4" fontId="1" fillId="2" borderId="0" xfId="0" applyNumberFormat="1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"/>
  <sheetViews>
    <sheetView tabSelected="1" zoomScale="75" zoomScaleNormal="75" workbookViewId="0">
      <selection activeCell="D6" sqref="D6"/>
    </sheetView>
  </sheetViews>
  <sheetFormatPr defaultColWidth="8.85546875" defaultRowHeight="15" x14ac:dyDescent="0.25"/>
  <cols>
    <col min="1" max="1" width="45.28515625" style="3" customWidth="1"/>
    <col min="2" max="2" width="16.5703125" style="3" customWidth="1"/>
    <col min="3" max="3" width="16.140625" style="3" customWidth="1"/>
    <col min="4" max="4" width="16.28515625" style="3" customWidth="1"/>
    <col min="5" max="7" width="14.42578125" style="3" customWidth="1"/>
    <col min="8" max="8" width="14.85546875" style="3" customWidth="1"/>
    <col min="9" max="9" width="15.5703125" style="3" customWidth="1"/>
    <col min="10" max="12" width="14.42578125" style="3" customWidth="1"/>
    <col min="13" max="13" width="13.85546875" style="3" customWidth="1"/>
    <col min="14" max="14" width="13.7109375" style="3" customWidth="1"/>
    <col min="15" max="15" width="12.42578125" style="3" customWidth="1"/>
    <col min="16" max="16" width="11.85546875" style="3" customWidth="1"/>
    <col min="17" max="18" width="12.28515625" style="3" customWidth="1"/>
    <col min="19" max="19" width="14" style="3" customWidth="1"/>
    <col min="20" max="20" width="14.7109375" style="3" customWidth="1"/>
    <col min="21" max="28" width="12.28515625" style="3" customWidth="1"/>
    <col min="29" max="29" width="15.5703125" style="3" customWidth="1"/>
    <col min="30" max="30" width="16.85546875" style="3" bestFit="1" customWidth="1"/>
    <col min="31" max="31" width="15" style="3" bestFit="1" customWidth="1"/>
    <col min="32" max="32" width="15.140625" style="3" customWidth="1"/>
    <col min="33" max="16384" width="8.85546875" style="3"/>
  </cols>
  <sheetData>
    <row r="1" spans="1:32" ht="30" customHeight="1" x14ac:dyDescent="0.25">
      <c r="A1" s="1"/>
      <c r="B1" s="2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1"/>
    </row>
    <row r="2" spans="1:32" ht="18.75" x14ac:dyDescent="0.3">
      <c r="A2" s="4" t="s">
        <v>132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7" t="s">
        <v>37</v>
      </c>
    </row>
    <row r="3" spans="1:32" s="13" customFormat="1" ht="66" customHeight="1" x14ac:dyDescent="0.2">
      <c r="A3" s="8" t="s">
        <v>34</v>
      </c>
      <c r="B3" s="8" t="s">
        <v>0</v>
      </c>
      <c r="C3" s="9" t="s">
        <v>12</v>
      </c>
      <c r="D3" s="8" t="s">
        <v>13</v>
      </c>
      <c r="E3" s="10" t="s">
        <v>2</v>
      </c>
      <c r="F3" s="11"/>
      <c r="G3" s="10" t="s">
        <v>64</v>
      </c>
      <c r="H3" s="11"/>
      <c r="I3" s="10" t="s">
        <v>39</v>
      </c>
      <c r="J3" s="11"/>
      <c r="K3" s="10" t="s">
        <v>26</v>
      </c>
      <c r="L3" s="11"/>
      <c r="M3" s="10" t="s">
        <v>14</v>
      </c>
      <c r="N3" s="11"/>
      <c r="O3" s="8" t="s">
        <v>27</v>
      </c>
      <c r="P3" s="8"/>
      <c r="Q3" s="10" t="s">
        <v>3</v>
      </c>
      <c r="R3" s="11"/>
      <c r="S3" s="10" t="s">
        <v>77</v>
      </c>
      <c r="T3" s="11"/>
      <c r="U3" s="10" t="s">
        <v>93</v>
      </c>
      <c r="V3" s="11"/>
      <c r="W3" s="10" t="s">
        <v>96</v>
      </c>
      <c r="X3" s="11"/>
      <c r="Y3" s="10" t="s">
        <v>81</v>
      </c>
      <c r="Z3" s="11"/>
      <c r="AA3" s="10" t="s">
        <v>119</v>
      </c>
      <c r="AB3" s="11"/>
      <c r="AC3" s="8" t="s">
        <v>1</v>
      </c>
      <c r="AD3" s="8"/>
      <c r="AE3" s="8"/>
      <c r="AF3" s="12" t="s">
        <v>15</v>
      </c>
    </row>
    <row r="4" spans="1:32" s="13" customFormat="1" ht="25.5" customHeight="1" x14ac:dyDescent="0.2">
      <c r="A4" s="8"/>
      <c r="B4" s="8"/>
      <c r="C4" s="14"/>
      <c r="D4" s="8"/>
      <c r="E4" s="15" t="s">
        <v>16</v>
      </c>
      <c r="F4" s="15" t="s">
        <v>17</v>
      </c>
      <c r="G4" s="15" t="s">
        <v>16</v>
      </c>
      <c r="H4" s="15" t="s">
        <v>17</v>
      </c>
      <c r="I4" s="15" t="s">
        <v>16</v>
      </c>
      <c r="J4" s="15" t="s">
        <v>17</v>
      </c>
      <c r="K4" s="15" t="s">
        <v>16</v>
      </c>
      <c r="L4" s="15" t="s">
        <v>17</v>
      </c>
      <c r="M4" s="15" t="s">
        <v>16</v>
      </c>
      <c r="N4" s="15" t="s">
        <v>17</v>
      </c>
      <c r="O4" s="15" t="s">
        <v>16</v>
      </c>
      <c r="P4" s="15" t="s">
        <v>17</v>
      </c>
      <c r="Q4" s="15" t="s">
        <v>16</v>
      </c>
      <c r="R4" s="15" t="s">
        <v>17</v>
      </c>
      <c r="S4" s="15" t="s">
        <v>16</v>
      </c>
      <c r="T4" s="15" t="s">
        <v>17</v>
      </c>
      <c r="U4" s="15" t="s">
        <v>16</v>
      </c>
      <c r="V4" s="15" t="s">
        <v>17</v>
      </c>
      <c r="W4" s="15" t="s">
        <v>16</v>
      </c>
      <c r="X4" s="15" t="s">
        <v>17</v>
      </c>
      <c r="Y4" s="15" t="s">
        <v>16</v>
      </c>
      <c r="Z4" s="15" t="s">
        <v>17</v>
      </c>
      <c r="AA4" s="15" t="s">
        <v>16</v>
      </c>
      <c r="AB4" s="15" t="s">
        <v>17</v>
      </c>
      <c r="AC4" s="15" t="s">
        <v>13</v>
      </c>
      <c r="AD4" s="15" t="s">
        <v>33</v>
      </c>
      <c r="AE4" s="15" t="s">
        <v>17</v>
      </c>
      <c r="AF4" s="12"/>
    </row>
    <row r="5" spans="1:32" s="13" customFormat="1" ht="12.75" x14ac:dyDescent="0.2">
      <c r="A5" s="16">
        <v>1</v>
      </c>
      <c r="B5" s="17">
        <v>2</v>
      </c>
      <c r="C5" s="18">
        <v>3</v>
      </c>
      <c r="D5" s="17">
        <v>4</v>
      </c>
      <c r="E5" s="17">
        <v>5</v>
      </c>
      <c r="F5" s="18">
        <v>6</v>
      </c>
      <c r="G5" s="18" t="s">
        <v>67</v>
      </c>
      <c r="H5" s="17">
        <v>8</v>
      </c>
      <c r="I5" s="17">
        <v>9</v>
      </c>
      <c r="J5" s="18" t="s">
        <v>68</v>
      </c>
      <c r="K5" s="17">
        <v>11</v>
      </c>
      <c r="L5" s="17">
        <v>12</v>
      </c>
      <c r="M5" s="18" t="s">
        <v>69</v>
      </c>
      <c r="N5" s="17">
        <v>14</v>
      </c>
      <c r="O5" s="17">
        <v>15</v>
      </c>
      <c r="P5" s="18" t="s">
        <v>70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  <c r="AC5" s="17">
        <v>29</v>
      </c>
      <c r="AD5" s="17">
        <v>30</v>
      </c>
      <c r="AE5" s="17">
        <v>31</v>
      </c>
      <c r="AF5" s="18" t="s">
        <v>97</v>
      </c>
    </row>
    <row r="6" spans="1:32" s="13" customFormat="1" ht="25.5" x14ac:dyDescent="0.2">
      <c r="A6" s="19" t="s">
        <v>28</v>
      </c>
      <c r="B6" s="20"/>
      <c r="C6" s="21"/>
      <c r="D6" s="22">
        <f>SUM(D7)</f>
        <v>3200000</v>
      </c>
      <c r="E6" s="22"/>
      <c r="F6" s="22"/>
      <c r="G6" s="22"/>
      <c r="H6" s="22"/>
      <c r="I6" s="22"/>
      <c r="J6" s="22"/>
      <c r="K6" s="22">
        <f>SUM(K7)</f>
        <v>3200000</v>
      </c>
      <c r="L6" s="22">
        <f>SUM(L7)</f>
        <v>3200000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>
        <f>SUM(AC7)</f>
        <v>3200000</v>
      </c>
      <c r="AD6" s="22">
        <f>SUM(AD7)</f>
        <v>3200000</v>
      </c>
      <c r="AE6" s="22">
        <f>SUM(AE7)</f>
        <v>3200000</v>
      </c>
      <c r="AF6" s="22">
        <f>SUM(AF7)</f>
        <v>0</v>
      </c>
    </row>
    <row r="7" spans="1:32" s="13" customFormat="1" ht="33" customHeight="1" x14ac:dyDescent="0.2">
      <c r="A7" s="19" t="s">
        <v>25</v>
      </c>
      <c r="B7" s="23" t="s">
        <v>29</v>
      </c>
      <c r="C7" s="24" t="s">
        <v>40</v>
      </c>
      <c r="D7" s="23">
        <v>3200000</v>
      </c>
      <c r="E7" s="22"/>
      <c r="F7" s="22"/>
      <c r="G7" s="22"/>
      <c r="H7" s="22"/>
      <c r="I7" s="22"/>
      <c r="J7" s="22"/>
      <c r="K7" s="22">
        <v>3200000</v>
      </c>
      <c r="L7" s="22">
        <v>3200000</v>
      </c>
      <c r="M7" s="22"/>
      <c r="N7" s="22"/>
      <c r="O7" s="22"/>
      <c r="P7" s="22"/>
      <c r="Q7" s="22"/>
      <c r="R7" s="20"/>
      <c r="S7" s="25"/>
      <c r="T7" s="25"/>
      <c r="U7" s="25"/>
      <c r="V7" s="25"/>
      <c r="W7" s="25"/>
      <c r="X7" s="25"/>
      <c r="Y7" s="25"/>
      <c r="Z7" s="25"/>
      <c r="AA7" s="25"/>
      <c r="AB7" s="25"/>
      <c r="AC7" s="23">
        <v>3200000</v>
      </c>
      <c r="AD7" s="23">
        <f>SUM(E7+G7+I7+K7+M7+O7+Q7)</f>
        <v>3200000</v>
      </c>
      <c r="AE7" s="23">
        <f>SUM(F7+H7+J7+L7+N7+P7+R7)</f>
        <v>3200000</v>
      </c>
      <c r="AF7" s="25">
        <f>SUM(AC7-AE7)</f>
        <v>0</v>
      </c>
    </row>
    <row r="8" spans="1:32" s="13" customFormat="1" ht="25.5" x14ac:dyDescent="0.2">
      <c r="A8" s="19" t="s">
        <v>30</v>
      </c>
      <c r="B8" s="20"/>
      <c r="C8" s="21"/>
      <c r="D8" s="22">
        <f>SUM(D9)</f>
        <v>3799523.97</v>
      </c>
      <c r="E8" s="22">
        <f>SUM(E9:E10)</f>
        <v>4494151.74</v>
      </c>
      <c r="F8" s="22">
        <f>SUM(F9:F10)</f>
        <v>3799523.9699999997</v>
      </c>
      <c r="G8" s="22"/>
      <c r="H8" s="22"/>
      <c r="I8" s="22"/>
      <c r="J8" s="22"/>
      <c r="K8" s="22"/>
      <c r="L8" s="22"/>
      <c r="M8" s="22"/>
      <c r="N8" s="22"/>
      <c r="O8" s="22"/>
      <c r="P8" s="16"/>
      <c r="Q8" s="16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2">
        <f>SUM(AC9)</f>
        <v>3799523.97</v>
      </c>
      <c r="AD8" s="22">
        <f>SUM(AD9:AD10)</f>
        <v>4494151.74</v>
      </c>
      <c r="AE8" s="22">
        <f>SUM(AE9:AE10)</f>
        <v>3799523.9699999997</v>
      </c>
      <c r="AF8" s="22">
        <f>SUM(AF9:AF10)</f>
        <v>0</v>
      </c>
    </row>
    <row r="9" spans="1:32" s="13" customFormat="1" ht="35.25" customHeight="1" x14ac:dyDescent="0.2">
      <c r="A9" s="19" t="s">
        <v>18</v>
      </c>
      <c r="B9" s="26" t="s">
        <v>31</v>
      </c>
      <c r="C9" s="9" t="s">
        <v>41</v>
      </c>
      <c r="D9" s="26">
        <v>3799523.97</v>
      </c>
      <c r="E9" s="22">
        <v>3800000</v>
      </c>
      <c r="F9" s="22">
        <v>3105372.23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>
        <v>3799523.97</v>
      </c>
      <c r="AD9" s="23">
        <f>SUM(E9+G9+I9+K9+M9+O9+Q9)</f>
        <v>3800000</v>
      </c>
      <c r="AE9" s="23">
        <f>SUM(F9+H9+J9+L9+N9+P9+R9)</f>
        <v>3105372.23</v>
      </c>
      <c r="AF9" s="27">
        <f>AC9-AE9-AE10</f>
        <v>0</v>
      </c>
    </row>
    <row r="10" spans="1:32" s="13" customFormat="1" ht="35.25" customHeight="1" x14ac:dyDescent="0.2">
      <c r="A10" s="28" t="s">
        <v>19</v>
      </c>
      <c r="B10" s="29"/>
      <c r="C10" s="14"/>
      <c r="D10" s="29"/>
      <c r="E10" s="30">
        <v>694151.74</v>
      </c>
      <c r="F10" s="30">
        <v>694151.74</v>
      </c>
      <c r="G10" s="30"/>
      <c r="H10" s="30"/>
      <c r="I10" s="30"/>
      <c r="J10" s="30"/>
      <c r="K10" s="30"/>
      <c r="L10" s="30"/>
      <c r="M10" s="30"/>
      <c r="N10" s="30"/>
      <c r="O10" s="22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9"/>
      <c r="AD10" s="23">
        <f>SUM(E10+G10+I10+K10+M10+O10+Q10)</f>
        <v>694151.74</v>
      </c>
      <c r="AE10" s="23">
        <f>SUM(F10+H10+J10+L10+N10+P10+R10)</f>
        <v>694151.74</v>
      </c>
      <c r="AF10" s="31"/>
    </row>
    <row r="11" spans="1:32" s="13" customFormat="1" ht="25.5" x14ac:dyDescent="0.2">
      <c r="A11" s="19" t="s">
        <v>4</v>
      </c>
      <c r="B11" s="20"/>
      <c r="C11" s="21"/>
      <c r="D11" s="22">
        <f>SUM(D12)</f>
        <v>1399569.66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6"/>
      <c r="Q11" s="20">
        <f>SUM(Q12)</f>
        <v>1399569.66</v>
      </c>
      <c r="R11" s="20">
        <f>SUM(R12)</f>
        <v>1399569.66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>
        <f>SUM(AC12)</f>
        <v>1399569.66</v>
      </c>
      <c r="AD11" s="22">
        <f>SUM(AD12:AD12)</f>
        <v>1399569.66</v>
      </c>
      <c r="AE11" s="22">
        <f>SUM(AE12:AE12)</f>
        <v>1399569.66</v>
      </c>
      <c r="AF11" s="22">
        <f>SUM(AF12:AF12)</f>
        <v>0</v>
      </c>
    </row>
    <row r="12" spans="1:32" s="13" customFormat="1" ht="31.5" customHeight="1" x14ac:dyDescent="0.2">
      <c r="A12" s="19" t="s">
        <v>19</v>
      </c>
      <c r="B12" s="23" t="s">
        <v>5</v>
      </c>
      <c r="C12" s="24" t="s">
        <v>42</v>
      </c>
      <c r="D12" s="23">
        <v>1399569.66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1399569.66</v>
      </c>
      <c r="R12" s="22">
        <v>1399569.66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1399569.66</v>
      </c>
      <c r="AD12" s="23">
        <f>SUM(E12+G12+I12+K12+M12+O12+Q12)</f>
        <v>1399569.66</v>
      </c>
      <c r="AE12" s="23">
        <f>SUM(F12+H12+J12+L12+N12+P12+R12)</f>
        <v>1399569.66</v>
      </c>
      <c r="AF12" s="25">
        <f>SUM(AC12-AE12)</f>
        <v>0</v>
      </c>
    </row>
    <row r="13" spans="1:32" s="13" customFormat="1" ht="27.75" customHeight="1" x14ac:dyDescent="0.2">
      <c r="A13" s="19" t="s">
        <v>10</v>
      </c>
      <c r="B13" s="20"/>
      <c r="C13" s="21"/>
      <c r="D13" s="22">
        <f>SUM(D14)</f>
        <v>588726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f>SUM(O14)</f>
        <v>588726</v>
      </c>
      <c r="P13" s="22">
        <f>SUM(P14)</f>
        <v>588726</v>
      </c>
      <c r="Q13" s="16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>
        <f>SUM(AC14)</f>
        <v>588726</v>
      </c>
      <c r="AD13" s="22">
        <f>SUM(AD14:AD14)</f>
        <v>588726</v>
      </c>
      <c r="AE13" s="22">
        <f>SUM(AE14:AE14)</f>
        <v>588726</v>
      </c>
      <c r="AF13" s="22">
        <f>SUM(AF14:AF14)</f>
        <v>0</v>
      </c>
    </row>
    <row r="14" spans="1:32" s="13" customFormat="1" ht="21" customHeight="1" x14ac:dyDescent="0.2">
      <c r="A14" s="19" t="s">
        <v>19</v>
      </c>
      <c r="B14" s="22" t="s">
        <v>11</v>
      </c>
      <c r="C14" s="21" t="s">
        <v>43</v>
      </c>
      <c r="D14" s="23">
        <v>588726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588726</v>
      </c>
      <c r="P14" s="22">
        <v>588726</v>
      </c>
      <c r="Q14" s="22"/>
      <c r="R14" s="20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3">
        <v>588726</v>
      </c>
      <c r="AD14" s="23">
        <f>SUM(E14+G14+I14+K14+M14+O14+Q14)</f>
        <v>588726</v>
      </c>
      <c r="AE14" s="23">
        <f>SUM(F14+H14+J14+L14+N14+P14+R14)</f>
        <v>588726</v>
      </c>
      <c r="AF14" s="25">
        <f>SUM(AC14-AE14)</f>
        <v>0</v>
      </c>
    </row>
    <row r="15" spans="1:32" s="13" customFormat="1" ht="33" customHeight="1" x14ac:dyDescent="0.2">
      <c r="A15" s="19" t="s">
        <v>6</v>
      </c>
      <c r="B15" s="32"/>
      <c r="C15" s="21"/>
      <c r="D15" s="22">
        <f>SUM(D16)</f>
        <v>49097</v>
      </c>
      <c r="E15" s="22"/>
      <c r="F15" s="22"/>
      <c r="G15" s="22"/>
      <c r="H15" s="22"/>
      <c r="I15" s="22"/>
      <c r="J15" s="22"/>
      <c r="K15" s="22"/>
      <c r="L15" s="22"/>
      <c r="M15" s="22">
        <f>SUM(M16)</f>
        <v>49097</v>
      </c>
      <c r="N15" s="22">
        <f>SUM(N16)</f>
        <v>49097</v>
      </c>
      <c r="O15" s="22"/>
      <c r="P15" s="22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2">
        <f>SUM(AC16)</f>
        <v>49097</v>
      </c>
      <c r="AD15" s="20">
        <f>SUM(AD16:AD16)</f>
        <v>49097</v>
      </c>
      <c r="AE15" s="20">
        <f>SUM(AE16:AE16)</f>
        <v>49097</v>
      </c>
      <c r="AF15" s="20">
        <f>SUM(AF16:AF16)</f>
        <v>0</v>
      </c>
    </row>
    <row r="16" spans="1:32" s="13" customFormat="1" ht="24" customHeight="1" x14ac:dyDescent="0.2">
      <c r="A16" s="19" t="s">
        <v>19</v>
      </c>
      <c r="B16" s="23" t="s">
        <v>7</v>
      </c>
      <c r="C16" s="24" t="s">
        <v>44</v>
      </c>
      <c r="D16" s="23">
        <v>49097</v>
      </c>
      <c r="E16" s="22"/>
      <c r="F16" s="22"/>
      <c r="G16" s="22"/>
      <c r="H16" s="22"/>
      <c r="I16" s="22"/>
      <c r="J16" s="22"/>
      <c r="K16" s="22"/>
      <c r="L16" s="22"/>
      <c r="M16" s="22">
        <v>49097</v>
      </c>
      <c r="N16" s="22">
        <v>49097</v>
      </c>
      <c r="O16" s="22"/>
      <c r="P16" s="22"/>
      <c r="Q16" s="20"/>
      <c r="R16" s="2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3">
        <v>49097</v>
      </c>
      <c r="AD16" s="23">
        <f>SUM(E16+G16+I16+K16+M16+O16+Q16)</f>
        <v>49097</v>
      </c>
      <c r="AE16" s="23">
        <f>SUM(F16+H16+J16+L16+N16+P16+R16)</f>
        <v>49097</v>
      </c>
      <c r="AF16" s="23">
        <f>SUM(AC16-AE16)</f>
        <v>0</v>
      </c>
    </row>
    <row r="17" spans="1:32" s="13" customFormat="1" ht="29.25" customHeight="1" x14ac:dyDescent="0.2">
      <c r="A17" s="19" t="s">
        <v>8</v>
      </c>
      <c r="B17" s="22"/>
      <c r="C17" s="21"/>
      <c r="D17" s="22">
        <f>SUM(D18)</f>
        <v>90162</v>
      </c>
      <c r="E17" s="22"/>
      <c r="F17" s="22"/>
      <c r="G17" s="22"/>
      <c r="H17" s="22"/>
      <c r="I17" s="22"/>
      <c r="J17" s="22"/>
      <c r="K17" s="22"/>
      <c r="L17" s="22"/>
      <c r="M17" s="22">
        <f>SUM(M18)</f>
        <v>90162</v>
      </c>
      <c r="N17" s="22">
        <f>SUM(N18)</f>
        <v>90162</v>
      </c>
      <c r="O17" s="22"/>
      <c r="P17" s="20"/>
      <c r="Q17" s="22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2">
        <f>SUM(AC18)</f>
        <v>90162</v>
      </c>
      <c r="AD17" s="22">
        <f>SUM(AD18:AD18)</f>
        <v>90162</v>
      </c>
      <c r="AE17" s="22">
        <f>SUM(AE18:AE18)</f>
        <v>90162</v>
      </c>
      <c r="AF17" s="22">
        <f>SUM(AF18:AF18)</f>
        <v>0</v>
      </c>
    </row>
    <row r="18" spans="1:32" s="13" customFormat="1" ht="15" customHeight="1" x14ac:dyDescent="0.2">
      <c r="A18" s="19" t="s">
        <v>19</v>
      </c>
      <c r="B18" s="24" t="s">
        <v>9</v>
      </c>
      <c r="C18" s="24" t="s">
        <v>45</v>
      </c>
      <c r="D18" s="23">
        <v>90162</v>
      </c>
      <c r="E18" s="33"/>
      <c r="F18" s="33"/>
      <c r="G18" s="33"/>
      <c r="H18" s="33"/>
      <c r="I18" s="33"/>
      <c r="J18" s="33"/>
      <c r="K18" s="33"/>
      <c r="L18" s="33"/>
      <c r="M18" s="22">
        <v>90162</v>
      </c>
      <c r="N18" s="22">
        <v>90162</v>
      </c>
      <c r="O18" s="22"/>
      <c r="P18" s="20"/>
      <c r="Q18" s="20"/>
      <c r="R18" s="2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3">
        <v>90162</v>
      </c>
      <c r="AD18" s="23">
        <f>SUM(E18+G18+I18+K18+M18+O18+Q18)</f>
        <v>90162</v>
      </c>
      <c r="AE18" s="23">
        <f>SUM(F18+H18+J18+L18+N18+P18+R18)</f>
        <v>90162</v>
      </c>
      <c r="AF18" s="25">
        <f>SUM(AC18-AE18)</f>
        <v>0</v>
      </c>
    </row>
    <row r="19" spans="1:32" s="13" customFormat="1" ht="24.75" customHeight="1" x14ac:dyDescent="0.2">
      <c r="A19" s="19" t="s">
        <v>32</v>
      </c>
      <c r="B19" s="21"/>
      <c r="C19" s="21"/>
      <c r="D19" s="22">
        <f>SUM(D20:D33)</f>
        <v>18277915.060000002</v>
      </c>
      <c r="E19" s="22">
        <f t="shared" ref="E19:H19" si="0">SUM(E20:E33)</f>
        <v>28820852.719999999</v>
      </c>
      <c r="F19" s="22">
        <f t="shared" si="0"/>
        <v>11947120.060000001</v>
      </c>
      <c r="G19" s="22">
        <f t="shared" si="0"/>
        <v>0</v>
      </c>
      <c r="H19" s="22">
        <f t="shared" si="0"/>
        <v>0</v>
      </c>
      <c r="I19" s="22">
        <f>SUM(I20:I34)</f>
        <v>3737036.44</v>
      </c>
      <c r="J19" s="22">
        <f>SUM(J20:J34)</f>
        <v>2975050</v>
      </c>
      <c r="K19" s="22"/>
      <c r="L19" s="22"/>
      <c r="M19" s="22"/>
      <c r="N19" s="22"/>
      <c r="O19" s="22"/>
      <c r="P19" s="20"/>
      <c r="Q19" s="3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2">
        <f>SUM(AC20:AC33)</f>
        <v>14922170.060000001</v>
      </c>
      <c r="AD19" s="22">
        <f>SUM(AD20:AD34)</f>
        <v>32557889.16</v>
      </c>
      <c r="AE19" s="22">
        <f>SUM(AE20:AE34)</f>
        <v>14922170.060000001</v>
      </c>
      <c r="AF19" s="22">
        <f>SUM(AF20:AF33)</f>
        <v>0</v>
      </c>
    </row>
    <row r="20" spans="1:32" s="13" customFormat="1" ht="29.25" customHeight="1" x14ac:dyDescent="0.2">
      <c r="A20" s="19" t="s">
        <v>47</v>
      </c>
      <c r="B20" s="34" t="s">
        <v>35</v>
      </c>
      <c r="C20" s="34" t="s">
        <v>59</v>
      </c>
      <c r="D20" s="12">
        <v>14018060</v>
      </c>
      <c r="E20" s="22">
        <v>5000000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0"/>
      <c r="Q20" s="35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6">
        <v>10662315</v>
      </c>
      <c r="AD20" s="23">
        <f t="shared" ref="AD20:AE32" si="1">SUM(E20+G20+I20+K20+M20+O20+Q20)</f>
        <v>5000000</v>
      </c>
      <c r="AE20" s="23">
        <f t="shared" si="1"/>
        <v>0</v>
      </c>
      <c r="AF20" s="27">
        <f>SUM(AC20+AC23-AE20-AE21-AE22-AE24-AE23)</f>
        <v>0</v>
      </c>
    </row>
    <row r="21" spans="1:32" s="13" customFormat="1" ht="26.25" customHeight="1" x14ac:dyDescent="0.2">
      <c r="A21" s="19" t="s">
        <v>48</v>
      </c>
      <c r="B21" s="34"/>
      <c r="C21" s="34"/>
      <c r="D21" s="12"/>
      <c r="E21" s="22">
        <v>4624079.66</v>
      </c>
      <c r="F21" s="22">
        <v>2496525</v>
      </c>
      <c r="G21" s="22"/>
      <c r="H21" s="22"/>
      <c r="I21" s="22"/>
      <c r="J21" s="22"/>
      <c r="K21" s="22"/>
      <c r="L21" s="22"/>
      <c r="M21" s="22"/>
      <c r="N21" s="22"/>
      <c r="O21" s="22"/>
      <c r="P21" s="20"/>
      <c r="Q21" s="35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36"/>
      <c r="AD21" s="23">
        <f t="shared" si="1"/>
        <v>4624079.66</v>
      </c>
      <c r="AE21" s="23">
        <f t="shared" si="1"/>
        <v>2496525</v>
      </c>
      <c r="AF21" s="37"/>
    </row>
    <row r="22" spans="1:32" s="13" customFormat="1" ht="33" customHeight="1" x14ac:dyDescent="0.2">
      <c r="A22" s="19" t="s">
        <v>49</v>
      </c>
      <c r="B22" s="34"/>
      <c r="C22" s="34"/>
      <c r="D22" s="12"/>
      <c r="E22" s="22">
        <v>5000000</v>
      </c>
      <c r="F22" s="22">
        <v>2231981</v>
      </c>
      <c r="G22" s="22"/>
      <c r="H22" s="22"/>
      <c r="I22" s="22"/>
      <c r="J22" s="22"/>
      <c r="K22" s="22"/>
      <c r="L22" s="22"/>
      <c r="M22" s="22"/>
      <c r="N22" s="22"/>
      <c r="O22" s="22"/>
      <c r="P22" s="20"/>
      <c r="Q22" s="35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36"/>
      <c r="AD22" s="23">
        <f t="shared" si="1"/>
        <v>5000000</v>
      </c>
      <c r="AE22" s="23">
        <f t="shared" si="1"/>
        <v>2231981</v>
      </c>
      <c r="AF22" s="37"/>
    </row>
    <row r="23" spans="1:32" s="13" customFormat="1" ht="33" customHeight="1" x14ac:dyDescent="0.2">
      <c r="A23" s="19" t="s">
        <v>50</v>
      </c>
      <c r="B23" s="34"/>
      <c r="C23" s="34"/>
      <c r="D23" s="12"/>
      <c r="E23" s="22">
        <v>10921500</v>
      </c>
      <c r="F23" s="22">
        <v>3943341</v>
      </c>
      <c r="G23" s="22"/>
      <c r="H23" s="22"/>
      <c r="I23" s="22"/>
      <c r="J23" s="22"/>
      <c r="K23" s="22"/>
      <c r="L23" s="22"/>
      <c r="M23" s="22"/>
      <c r="N23" s="22"/>
      <c r="O23" s="22"/>
      <c r="P23" s="20"/>
      <c r="Q23" s="35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36"/>
      <c r="AD23" s="23">
        <f t="shared" si="1"/>
        <v>10921500</v>
      </c>
      <c r="AE23" s="23">
        <f t="shared" si="1"/>
        <v>3943341</v>
      </c>
      <c r="AF23" s="37"/>
    </row>
    <row r="24" spans="1:32" s="13" customFormat="1" ht="33" customHeight="1" x14ac:dyDescent="0.2">
      <c r="A24" s="19" t="s">
        <v>51</v>
      </c>
      <c r="B24" s="34"/>
      <c r="C24" s="34"/>
      <c r="D24" s="12"/>
      <c r="E24" s="22">
        <f>2768019-153167-624384</f>
        <v>1990468</v>
      </c>
      <c r="F24" s="22">
        <f>2614852-624384</f>
        <v>1990468</v>
      </c>
      <c r="G24" s="22"/>
      <c r="H24" s="22"/>
      <c r="I24" s="22"/>
      <c r="J24" s="22"/>
      <c r="K24" s="22"/>
      <c r="L24" s="22"/>
      <c r="M24" s="22"/>
      <c r="N24" s="22"/>
      <c r="O24" s="22"/>
      <c r="P24" s="20"/>
      <c r="Q24" s="35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36"/>
      <c r="AD24" s="23">
        <f t="shared" si="1"/>
        <v>1990468</v>
      </c>
      <c r="AE24" s="23">
        <f t="shared" si="1"/>
        <v>1990468</v>
      </c>
      <c r="AF24" s="37"/>
    </row>
    <row r="25" spans="1:32" s="13" customFormat="1" ht="18.75" customHeight="1" x14ac:dyDescent="0.2">
      <c r="A25" s="19" t="s">
        <v>99</v>
      </c>
      <c r="B25" s="9" t="s">
        <v>60</v>
      </c>
      <c r="C25" s="9"/>
      <c r="D25" s="26">
        <f>1284805.06</f>
        <v>1284805.06</v>
      </c>
      <c r="E25" s="22">
        <v>52726</v>
      </c>
      <c r="F25" s="22">
        <v>52726</v>
      </c>
      <c r="G25" s="22"/>
      <c r="H25" s="22"/>
      <c r="I25" s="22"/>
      <c r="J25" s="22"/>
      <c r="K25" s="22"/>
      <c r="L25" s="22"/>
      <c r="M25" s="22"/>
      <c r="N25" s="22"/>
      <c r="O25" s="22"/>
      <c r="P25" s="20"/>
      <c r="Q25" s="35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6">
        <v>1284805.06</v>
      </c>
      <c r="AD25" s="23">
        <f t="shared" si="1"/>
        <v>52726</v>
      </c>
      <c r="AE25" s="23">
        <f t="shared" si="1"/>
        <v>52726</v>
      </c>
      <c r="AF25" s="27">
        <f>SUM(AC25-AE25-AE26-AE27)</f>
        <v>0</v>
      </c>
    </row>
    <row r="26" spans="1:32" s="13" customFormat="1" ht="18.75" customHeight="1" x14ac:dyDescent="0.2">
      <c r="A26" s="19" t="s">
        <v>100</v>
      </c>
      <c r="B26" s="38"/>
      <c r="C26" s="38"/>
      <c r="D26" s="36"/>
      <c r="E26" s="22">
        <v>206000.06</v>
      </c>
      <c r="F26" s="22">
        <v>206000.06</v>
      </c>
      <c r="G26" s="22"/>
      <c r="H26" s="22"/>
      <c r="I26" s="22"/>
      <c r="J26" s="22"/>
      <c r="K26" s="22"/>
      <c r="L26" s="22"/>
      <c r="M26" s="22"/>
      <c r="N26" s="22"/>
      <c r="O26" s="22"/>
      <c r="P26" s="20"/>
      <c r="Q26" s="35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36"/>
      <c r="AD26" s="23">
        <f t="shared" si="1"/>
        <v>206000.06</v>
      </c>
      <c r="AE26" s="23">
        <f t="shared" si="1"/>
        <v>206000.06</v>
      </c>
      <c r="AF26" s="37"/>
    </row>
    <row r="27" spans="1:32" s="13" customFormat="1" ht="18.75" customHeight="1" x14ac:dyDescent="0.2">
      <c r="A27" s="19" t="s">
        <v>98</v>
      </c>
      <c r="B27" s="14"/>
      <c r="C27" s="14"/>
      <c r="D27" s="29"/>
      <c r="E27" s="22">
        <v>1026079</v>
      </c>
      <c r="F27" s="22">
        <v>1026079</v>
      </c>
      <c r="G27" s="22"/>
      <c r="H27" s="22"/>
      <c r="I27" s="22"/>
      <c r="J27" s="22"/>
      <c r="K27" s="22"/>
      <c r="L27" s="22"/>
      <c r="M27" s="22"/>
      <c r="N27" s="22"/>
      <c r="O27" s="22"/>
      <c r="P27" s="20"/>
      <c r="Q27" s="35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9"/>
      <c r="AD27" s="23">
        <f t="shared" si="1"/>
        <v>1026079</v>
      </c>
      <c r="AE27" s="23">
        <f t="shared" si="1"/>
        <v>1026079</v>
      </c>
      <c r="AF27" s="31"/>
    </row>
    <row r="28" spans="1:32" s="13" customFormat="1" ht="33" customHeight="1" x14ac:dyDescent="0.2">
      <c r="A28" s="19" t="s">
        <v>52</v>
      </c>
      <c r="B28" s="34" t="s">
        <v>38</v>
      </c>
      <c r="C28" s="34" t="s">
        <v>53</v>
      </c>
      <c r="D28" s="12">
        <v>1835437</v>
      </c>
      <c r="E28" s="22"/>
      <c r="F28" s="22"/>
      <c r="G28" s="22"/>
      <c r="H28" s="22"/>
      <c r="I28" s="22">
        <v>777551</v>
      </c>
      <c r="J28" s="22">
        <v>624384</v>
      </c>
      <c r="K28" s="22"/>
      <c r="L28" s="22"/>
      <c r="M28" s="22"/>
      <c r="N28" s="22"/>
      <c r="O28" s="22"/>
      <c r="P28" s="20"/>
      <c r="Q28" s="35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6">
        <v>1835437</v>
      </c>
      <c r="AD28" s="23">
        <f t="shared" si="1"/>
        <v>777551</v>
      </c>
      <c r="AE28" s="23">
        <f t="shared" si="1"/>
        <v>624384</v>
      </c>
      <c r="AF28" s="26">
        <f>SUM(AC28-AE29-AE28-AE30)</f>
        <v>0</v>
      </c>
    </row>
    <row r="29" spans="1:32" s="13" customFormat="1" ht="26.25" customHeight="1" x14ac:dyDescent="0.2">
      <c r="A29" s="19" t="s">
        <v>46</v>
      </c>
      <c r="B29" s="34"/>
      <c r="C29" s="34"/>
      <c r="D29" s="12"/>
      <c r="E29" s="22"/>
      <c r="F29" s="22"/>
      <c r="G29" s="22"/>
      <c r="H29" s="22"/>
      <c r="I29" s="22">
        <v>153167</v>
      </c>
      <c r="J29" s="22">
        <v>153167</v>
      </c>
      <c r="K29" s="22"/>
      <c r="L29" s="22"/>
      <c r="M29" s="22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36"/>
      <c r="AD29" s="23">
        <f t="shared" si="1"/>
        <v>153167</v>
      </c>
      <c r="AE29" s="23">
        <f t="shared" si="1"/>
        <v>153167</v>
      </c>
      <c r="AF29" s="36"/>
    </row>
    <row r="30" spans="1:32" s="13" customFormat="1" ht="26.25" customHeight="1" x14ac:dyDescent="0.2">
      <c r="A30" s="19" t="s">
        <v>62</v>
      </c>
      <c r="B30" s="34"/>
      <c r="C30" s="34"/>
      <c r="D30" s="12"/>
      <c r="E30" s="22"/>
      <c r="F30" s="22"/>
      <c r="G30" s="22"/>
      <c r="H30" s="22"/>
      <c r="I30" s="22">
        <v>1057886</v>
      </c>
      <c r="J30" s="22">
        <v>1057886</v>
      </c>
      <c r="K30" s="22"/>
      <c r="L30" s="22"/>
      <c r="M30" s="22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9"/>
      <c r="AD30" s="23">
        <f t="shared" si="1"/>
        <v>1057886</v>
      </c>
      <c r="AE30" s="23">
        <f t="shared" si="1"/>
        <v>1057886</v>
      </c>
      <c r="AF30" s="29"/>
    </row>
    <row r="31" spans="1:32" s="13" customFormat="1" ht="26.25" customHeight="1" x14ac:dyDescent="0.2">
      <c r="A31" s="19" t="s">
        <v>62</v>
      </c>
      <c r="B31" s="9" t="s">
        <v>54</v>
      </c>
      <c r="C31" s="9" t="s">
        <v>55</v>
      </c>
      <c r="D31" s="26">
        <v>962898</v>
      </c>
      <c r="E31" s="22"/>
      <c r="F31" s="22"/>
      <c r="G31" s="22"/>
      <c r="H31" s="22"/>
      <c r="I31" s="22">
        <v>962898</v>
      </c>
      <c r="J31" s="22">
        <v>530793.56000000006</v>
      </c>
      <c r="K31" s="22"/>
      <c r="L31" s="22"/>
      <c r="M31" s="22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6">
        <v>962898</v>
      </c>
      <c r="AD31" s="23">
        <f t="shared" si="1"/>
        <v>962898</v>
      </c>
      <c r="AE31" s="23">
        <f t="shared" si="1"/>
        <v>530793.56000000006</v>
      </c>
      <c r="AF31" s="26">
        <f>AC31-AE31-AE32</f>
        <v>0</v>
      </c>
    </row>
    <row r="32" spans="1:32" s="13" customFormat="1" ht="26.25" customHeight="1" x14ac:dyDescent="0.2">
      <c r="A32" s="19" t="s">
        <v>61</v>
      </c>
      <c r="B32" s="14"/>
      <c r="C32" s="14"/>
      <c r="D32" s="29"/>
      <c r="E32" s="22"/>
      <c r="F32" s="22"/>
      <c r="G32" s="22"/>
      <c r="H32" s="22"/>
      <c r="I32" s="22">
        <v>432104.44</v>
      </c>
      <c r="J32" s="22">
        <v>432104.44</v>
      </c>
      <c r="K32" s="22"/>
      <c r="L32" s="22"/>
      <c r="M32" s="22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9"/>
      <c r="AD32" s="23">
        <f t="shared" si="1"/>
        <v>432104.44</v>
      </c>
      <c r="AE32" s="23">
        <f t="shared" si="1"/>
        <v>432104.44</v>
      </c>
      <c r="AF32" s="29"/>
    </row>
    <row r="33" spans="1:32" s="13" customFormat="1" ht="26.25" customHeight="1" x14ac:dyDescent="0.2">
      <c r="A33" s="19" t="s">
        <v>61</v>
      </c>
      <c r="B33" s="9" t="s">
        <v>73</v>
      </c>
      <c r="C33" s="9" t="s">
        <v>74</v>
      </c>
      <c r="D33" s="26">
        <v>176715</v>
      </c>
      <c r="E33" s="22"/>
      <c r="F33" s="22"/>
      <c r="G33" s="22"/>
      <c r="H33" s="22"/>
      <c r="I33" s="22">
        <v>176715</v>
      </c>
      <c r="J33" s="22"/>
      <c r="K33" s="22"/>
      <c r="L33" s="22"/>
      <c r="M33" s="22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6">
        <v>176715</v>
      </c>
      <c r="AD33" s="23">
        <f>SUM(E33+G33+I33+K33+M33+O33+Q33)</f>
        <v>176715</v>
      </c>
      <c r="AE33" s="23"/>
      <c r="AF33" s="33">
        <f>SUM(AC33-AE34)</f>
        <v>0</v>
      </c>
    </row>
    <row r="34" spans="1:32" s="13" customFormat="1" ht="26.25" customHeight="1" x14ac:dyDescent="0.2">
      <c r="A34" s="19" t="s">
        <v>126</v>
      </c>
      <c r="B34" s="14"/>
      <c r="C34" s="14"/>
      <c r="D34" s="29"/>
      <c r="E34" s="22"/>
      <c r="F34" s="22"/>
      <c r="G34" s="22"/>
      <c r="H34" s="22"/>
      <c r="I34" s="22">
        <v>176715</v>
      </c>
      <c r="J34" s="22">
        <v>176715</v>
      </c>
      <c r="K34" s="22"/>
      <c r="L34" s="22"/>
      <c r="M34" s="22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9"/>
      <c r="AD34" s="23">
        <f>SUM(E34+G34+I34+K34+M34+O34+Q34)</f>
        <v>176715</v>
      </c>
      <c r="AE34" s="23">
        <v>176715</v>
      </c>
      <c r="AF34" s="33"/>
    </row>
    <row r="35" spans="1:32" s="13" customFormat="1" ht="26.25" customHeight="1" x14ac:dyDescent="0.2">
      <c r="A35" s="19" t="s">
        <v>65</v>
      </c>
      <c r="B35" s="39"/>
      <c r="C35" s="39"/>
      <c r="D35" s="33">
        <f>SUM(D36)</f>
        <v>8983465.3599999994</v>
      </c>
      <c r="E35" s="22"/>
      <c r="F35" s="22"/>
      <c r="G35" s="22">
        <f>G37+G36</f>
        <v>8983465.3599999994</v>
      </c>
      <c r="H35" s="22">
        <f>H37+H36</f>
        <v>8983465.3599999994</v>
      </c>
      <c r="I35" s="22"/>
      <c r="J35" s="22"/>
      <c r="K35" s="22"/>
      <c r="L35" s="22"/>
      <c r="M35" s="22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>
        <f>AC36</f>
        <v>8983465.3599999994</v>
      </c>
      <c r="AD35" s="22">
        <f>AD37+AD36</f>
        <v>8983465.3599999994</v>
      </c>
      <c r="AE35" s="22">
        <f>AE37+AE36</f>
        <v>8983465.3599999994</v>
      </c>
      <c r="AF35" s="22">
        <f>AF36</f>
        <v>-9.3132257461547852E-10</v>
      </c>
    </row>
    <row r="36" spans="1:32" s="13" customFormat="1" ht="26.25" customHeight="1" x14ac:dyDescent="0.2">
      <c r="A36" s="19" t="s">
        <v>72</v>
      </c>
      <c r="B36" s="9" t="s">
        <v>66</v>
      </c>
      <c r="C36" s="9" t="s">
        <v>86</v>
      </c>
      <c r="D36" s="26">
        <v>8983465.3599999994</v>
      </c>
      <c r="E36" s="22"/>
      <c r="F36" s="22"/>
      <c r="G36" s="22">
        <v>1500915.12</v>
      </c>
      <c r="H36" s="22">
        <v>1500915.12</v>
      </c>
      <c r="I36" s="22"/>
      <c r="J36" s="22"/>
      <c r="K36" s="22"/>
      <c r="L36" s="22"/>
      <c r="M36" s="22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6">
        <v>8983465.3599999994</v>
      </c>
      <c r="AD36" s="23">
        <f>SUM(E36+G36+I36+K36+M36+O36+Q36)</f>
        <v>1500915.12</v>
      </c>
      <c r="AE36" s="23">
        <f>SUM(F36+H36+J36+L36+N36+P36+R36)</f>
        <v>1500915.12</v>
      </c>
      <c r="AF36" s="26">
        <f>SUM(AC36-AE36-AE37)</f>
        <v>-9.3132257461547852E-10</v>
      </c>
    </row>
    <row r="37" spans="1:32" s="13" customFormat="1" ht="46.5" customHeight="1" x14ac:dyDescent="0.2">
      <c r="A37" s="19" t="s">
        <v>63</v>
      </c>
      <c r="B37" s="14"/>
      <c r="C37" s="14"/>
      <c r="D37" s="29"/>
      <c r="E37" s="22"/>
      <c r="F37" s="22"/>
      <c r="G37" s="22">
        <v>7482550.2400000002</v>
      </c>
      <c r="H37" s="22">
        <v>7482550.2400000002</v>
      </c>
      <c r="I37" s="22"/>
      <c r="J37" s="22"/>
      <c r="K37" s="22"/>
      <c r="L37" s="22"/>
      <c r="M37" s="22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9"/>
      <c r="AD37" s="22">
        <v>7482550.2400000002</v>
      </c>
      <c r="AE37" s="22">
        <f>SUM(F37+H37+J37+L37+N37+P37+R37)</f>
        <v>7482550.2400000002</v>
      </c>
      <c r="AF37" s="29"/>
    </row>
    <row r="38" spans="1:32" s="13" customFormat="1" ht="33.75" customHeight="1" x14ac:dyDescent="0.2">
      <c r="A38" s="19" t="s">
        <v>104</v>
      </c>
      <c r="B38" s="39"/>
      <c r="C38" s="39"/>
      <c r="D38" s="33">
        <f>SUM(D39)</f>
        <v>817360</v>
      </c>
      <c r="E38" s="22"/>
      <c r="F38" s="22"/>
      <c r="G38" s="22">
        <f>G40+G39</f>
        <v>817360</v>
      </c>
      <c r="H38" s="22">
        <f>H40+H39</f>
        <v>817360</v>
      </c>
      <c r="I38" s="22"/>
      <c r="J38" s="22"/>
      <c r="K38" s="22"/>
      <c r="L38" s="22"/>
      <c r="M38" s="22"/>
      <c r="N38" s="22"/>
      <c r="O38" s="22"/>
      <c r="P38" s="22"/>
      <c r="Q38" s="22"/>
      <c r="R38" s="2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33">
        <f>AC39</f>
        <v>817360</v>
      </c>
      <c r="AD38" s="33">
        <f t="shared" ref="AD38:AF38" si="2">AD39</f>
        <v>817360</v>
      </c>
      <c r="AE38" s="33">
        <f t="shared" si="2"/>
        <v>817360</v>
      </c>
      <c r="AF38" s="33">
        <f t="shared" si="2"/>
        <v>0</v>
      </c>
    </row>
    <row r="39" spans="1:32" s="13" customFormat="1" ht="34.5" customHeight="1" x14ac:dyDescent="0.2">
      <c r="A39" s="19" t="s">
        <v>102</v>
      </c>
      <c r="B39" s="39" t="s">
        <v>103</v>
      </c>
      <c r="C39" s="39" t="s">
        <v>105</v>
      </c>
      <c r="D39" s="33">
        <v>817360</v>
      </c>
      <c r="E39" s="22"/>
      <c r="F39" s="22"/>
      <c r="G39" s="22">
        <v>817360</v>
      </c>
      <c r="H39" s="22">
        <v>817360</v>
      </c>
      <c r="I39" s="22"/>
      <c r="J39" s="22"/>
      <c r="K39" s="22"/>
      <c r="L39" s="22"/>
      <c r="M39" s="22"/>
      <c r="N39" s="22"/>
      <c r="O39" s="22"/>
      <c r="P39" s="22"/>
      <c r="Q39" s="22"/>
      <c r="R39" s="2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33">
        <v>817360</v>
      </c>
      <c r="AD39" s="33">
        <v>817360</v>
      </c>
      <c r="AE39" s="33">
        <v>817360</v>
      </c>
      <c r="AF39" s="33">
        <f>AC39-AE39</f>
        <v>0</v>
      </c>
    </row>
    <row r="40" spans="1:32" s="13" customFormat="1" ht="46.5" customHeight="1" x14ac:dyDescent="0.2">
      <c r="A40" s="19" t="s">
        <v>84</v>
      </c>
      <c r="B40" s="39"/>
      <c r="C40" s="39"/>
      <c r="D40" s="33">
        <f>D41+D42+D45+D43+D44</f>
        <v>1054938.54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0"/>
      <c r="S40" s="33">
        <f>SUM(S41:S45)</f>
        <v>872871.24</v>
      </c>
      <c r="T40" s="33">
        <f>SUM(T41:T45)</f>
        <v>872871.24</v>
      </c>
      <c r="U40" s="33">
        <f>U43</f>
        <v>122477.54</v>
      </c>
      <c r="V40" s="33">
        <f>V43</f>
        <v>122477.54</v>
      </c>
      <c r="W40" s="33">
        <f>W44</f>
        <v>24589.759999999998</v>
      </c>
      <c r="X40" s="33">
        <f>X44</f>
        <v>24589.759999999998</v>
      </c>
      <c r="Y40" s="33">
        <f t="shared" ref="Y40:AF40" si="3">SUM(Y41:Y45)</f>
        <v>35000</v>
      </c>
      <c r="Z40" s="33">
        <f t="shared" si="3"/>
        <v>35000</v>
      </c>
      <c r="AA40" s="33">
        <f t="shared" si="3"/>
        <v>0</v>
      </c>
      <c r="AB40" s="33">
        <f t="shared" si="3"/>
        <v>0</v>
      </c>
      <c r="AC40" s="33">
        <f t="shared" si="3"/>
        <v>1054938.54</v>
      </c>
      <c r="AD40" s="33">
        <f t="shared" si="3"/>
        <v>1054938.54</v>
      </c>
      <c r="AE40" s="33">
        <f t="shared" si="3"/>
        <v>1054938.54</v>
      </c>
      <c r="AF40" s="33">
        <f t="shared" si="3"/>
        <v>0</v>
      </c>
    </row>
    <row r="41" spans="1:32" s="13" customFormat="1" ht="46.15" customHeight="1" x14ac:dyDescent="0.2">
      <c r="A41" s="19" t="s">
        <v>87</v>
      </c>
      <c r="B41" s="39" t="s">
        <v>78</v>
      </c>
      <c r="C41" s="39" t="s">
        <v>79</v>
      </c>
      <c r="D41" s="33">
        <v>592461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0"/>
      <c r="S41" s="40">
        <v>592461</v>
      </c>
      <c r="T41" s="40">
        <v>592461</v>
      </c>
      <c r="U41" s="40"/>
      <c r="V41" s="40"/>
      <c r="W41" s="40"/>
      <c r="X41" s="40"/>
      <c r="Y41" s="40"/>
      <c r="Z41" s="40"/>
      <c r="AA41" s="40"/>
      <c r="AB41" s="40"/>
      <c r="AC41" s="33">
        <v>592461</v>
      </c>
      <c r="AD41" s="22">
        <f>SUM(S41+Y41)</f>
        <v>592461</v>
      </c>
      <c r="AE41" s="22">
        <f>SUM(T41+Z41)</f>
        <v>592461</v>
      </c>
      <c r="AF41" s="22">
        <f>SUM(AC41-AE41)</f>
        <v>0</v>
      </c>
    </row>
    <row r="42" spans="1:32" s="13" customFormat="1" ht="62.45" customHeight="1" x14ac:dyDescent="0.2">
      <c r="A42" s="19" t="s">
        <v>88</v>
      </c>
      <c r="B42" s="39" t="s">
        <v>92</v>
      </c>
      <c r="C42" s="39" t="s">
        <v>80</v>
      </c>
      <c r="D42" s="33">
        <v>280410.23999999999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0"/>
      <c r="S42" s="40">
        <v>280410.23999999999</v>
      </c>
      <c r="T42" s="40">
        <v>280410.23999999999</v>
      </c>
      <c r="U42" s="40"/>
      <c r="V42" s="40"/>
      <c r="W42" s="40"/>
      <c r="X42" s="40"/>
      <c r="Y42" s="40"/>
      <c r="Z42" s="40"/>
      <c r="AA42" s="40"/>
      <c r="AB42" s="40"/>
      <c r="AC42" s="33">
        <v>280410.23999999999</v>
      </c>
      <c r="AD42" s="22">
        <f>SUM(S42+Y42)</f>
        <v>280410.23999999999</v>
      </c>
      <c r="AE42" s="22">
        <f>SUM(T42+Z42)</f>
        <v>280410.23999999999</v>
      </c>
      <c r="AF42" s="22">
        <f t="shared" ref="AF42:AF45" si="4">SUM(AC42-AE42)</f>
        <v>0</v>
      </c>
    </row>
    <row r="43" spans="1:32" s="13" customFormat="1" ht="62.45" customHeight="1" x14ac:dyDescent="0.2">
      <c r="A43" s="19" t="s">
        <v>88</v>
      </c>
      <c r="B43" s="39" t="s">
        <v>91</v>
      </c>
      <c r="C43" s="39" t="s">
        <v>79</v>
      </c>
      <c r="D43" s="33">
        <v>122477.54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0"/>
      <c r="S43" s="40"/>
      <c r="T43" s="40"/>
      <c r="U43" s="40">
        <v>122477.54</v>
      </c>
      <c r="V43" s="40">
        <v>122477.54</v>
      </c>
      <c r="W43" s="40"/>
      <c r="X43" s="40"/>
      <c r="Y43" s="40"/>
      <c r="Z43" s="40"/>
      <c r="AA43" s="40"/>
      <c r="AB43" s="40"/>
      <c r="AC43" s="33">
        <f>D43</f>
        <v>122477.54</v>
      </c>
      <c r="AD43" s="22">
        <f>U43</f>
        <v>122477.54</v>
      </c>
      <c r="AE43" s="22">
        <f>V43</f>
        <v>122477.54</v>
      </c>
      <c r="AF43" s="22">
        <f>AC43-AE43</f>
        <v>0</v>
      </c>
    </row>
    <row r="44" spans="1:32" s="13" customFormat="1" ht="62.45" customHeight="1" x14ac:dyDescent="0.2">
      <c r="A44" s="19" t="s">
        <v>88</v>
      </c>
      <c r="B44" s="39" t="s">
        <v>94</v>
      </c>
      <c r="C44" s="39" t="s">
        <v>95</v>
      </c>
      <c r="D44" s="33">
        <v>24589.759999999998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20"/>
      <c r="S44" s="40"/>
      <c r="T44" s="40"/>
      <c r="U44" s="40"/>
      <c r="V44" s="40"/>
      <c r="W44" s="40">
        <v>24589.759999999998</v>
      </c>
      <c r="X44" s="40">
        <v>24589.759999999998</v>
      </c>
      <c r="Y44" s="40"/>
      <c r="Z44" s="40"/>
      <c r="AA44" s="40"/>
      <c r="AB44" s="40"/>
      <c r="AC44" s="33">
        <f>D44</f>
        <v>24589.759999999998</v>
      </c>
      <c r="AD44" s="22">
        <f>W44</f>
        <v>24589.759999999998</v>
      </c>
      <c r="AE44" s="22">
        <f>X44</f>
        <v>24589.759999999998</v>
      </c>
      <c r="AF44" s="22">
        <f>AC44-AE44</f>
        <v>0</v>
      </c>
    </row>
    <row r="45" spans="1:32" s="13" customFormat="1" ht="59.45" customHeight="1" x14ac:dyDescent="0.2">
      <c r="A45" s="19" t="s">
        <v>89</v>
      </c>
      <c r="B45" s="39" t="s">
        <v>82</v>
      </c>
      <c r="C45" s="39" t="s">
        <v>83</v>
      </c>
      <c r="D45" s="33">
        <v>35000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20"/>
      <c r="S45" s="40"/>
      <c r="T45" s="40"/>
      <c r="U45" s="40"/>
      <c r="V45" s="40"/>
      <c r="W45" s="40"/>
      <c r="X45" s="40"/>
      <c r="Y45" s="40">
        <v>35000</v>
      </c>
      <c r="Z45" s="40">
        <v>35000</v>
      </c>
      <c r="AA45" s="40"/>
      <c r="AB45" s="40"/>
      <c r="AC45" s="33">
        <v>35000</v>
      </c>
      <c r="AD45" s="22">
        <f>SUM(S45+Y45)</f>
        <v>35000</v>
      </c>
      <c r="AE45" s="22">
        <f>SUM(T45+Z45)</f>
        <v>35000</v>
      </c>
      <c r="AF45" s="22">
        <f t="shared" si="4"/>
        <v>0</v>
      </c>
    </row>
    <row r="46" spans="1:32" s="13" customFormat="1" ht="75" customHeight="1" x14ac:dyDescent="0.2">
      <c r="A46" s="19" t="s">
        <v>85</v>
      </c>
      <c r="B46" s="39" t="s">
        <v>75</v>
      </c>
      <c r="C46" s="39" t="s">
        <v>76</v>
      </c>
      <c r="D46" s="33">
        <f>SUM(D47:D47)</f>
        <v>14363820.24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>
        <f>SUM(S47:S47)</f>
        <v>14363820</v>
      </c>
      <c r="T46" s="33">
        <f>SUM(T47:T47)</f>
        <v>14363820</v>
      </c>
      <c r="U46" s="33"/>
      <c r="V46" s="33"/>
      <c r="W46" s="33"/>
      <c r="X46" s="33"/>
      <c r="Y46" s="33"/>
      <c r="Z46" s="33"/>
      <c r="AA46" s="33"/>
      <c r="AB46" s="33"/>
      <c r="AC46" s="33">
        <f>SUM(AC47:AC47)</f>
        <v>14363820</v>
      </c>
      <c r="AD46" s="33">
        <f>SUM(AD47:AD47)</f>
        <v>14363820</v>
      </c>
      <c r="AE46" s="33">
        <f>SUM(AE47:AE47)</f>
        <v>14363820</v>
      </c>
      <c r="AF46" s="33">
        <f>SUM(AF47:AF47)</f>
        <v>0</v>
      </c>
    </row>
    <row r="47" spans="1:32" s="13" customFormat="1" ht="83.45" customHeight="1" x14ac:dyDescent="0.2">
      <c r="A47" s="19" t="s">
        <v>90</v>
      </c>
      <c r="B47" s="39" t="s">
        <v>75</v>
      </c>
      <c r="C47" s="39" t="s">
        <v>76</v>
      </c>
      <c r="D47" s="33">
        <v>14363820.24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0"/>
      <c r="S47" s="40">
        <v>14363820</v>
      </c>
      <c r="T47" s="40">
        <v>14363820</v>
      </c>
      <c r="U47" s="40"/>
      <c r="V47" s="40"/>
      <c r="W47" s="40"/>
      <c r="X47" s="40"/>
      <c r="Y47" s="40"/>
      <c r="Z47" s="40"/>
      <c r="AA47" s="40"/>
      <c r="AB47" s="40"/>
      <c r="AC47" s="33">
        <v>14363820</v>
      </c>
      <c r="AD47" s="33">
        <f>SUM(S47)</f>
        <v>14363820</v>
      </c>
      <c r="AE47" s="33">
        <f>SUM(T47)</f>
        <v>14363820</v>
      </c>
      <c r="AF47" s="33">
        <f>AC47-AE47</f>
        <v>0</v>
      </c>
    </row>
    <row r="48" spans="1:32" s="13" customFormat="1" ht="78.599999999999994" customHeight="1" x14ac:dyDescent="0.2">
      <c r="A48" s="19" t="s">
        <v>90</v>
      </c>
      <c r="B48" s="39" t="s">
        <v>127</v>
      </c>
      <c r="C48" s="39"/>
      <c r="D48" s="33">
        <v>1428818</v>
      </c>
      <c r="E48" s="33"/>
      <c r="F48" s="3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0"/>
      <c r="S48" s="40">
        <v>1428818</v>
      </c>
      <c r="T48" s="40"/>
      <c r="U48" s="40"/>
      <c r="V48" s="40"/>
      <c r="W48" s="40"/>
      <c r="X48" s="40"/>
      <c r="Y48" s="40"/>
      <c r="Z48" s="40"/>
      <c r="AA48" s="40"/>
      <c r="AB48" s="40"/>
      <c r="AC48" s="33">
        <v>1428818</v>
      </c>
      <c r="AD48" s="33"/>
      <c r="AE48" s="33"/>
      <c r="AF48" s="33">
        <f>AC48-AE48</f>
        <v>1428818</v>
      </c>
    </row>
    <row r="49" spans="1:32" s="13" customFormat="1" ht="78.599999999999994" customHeight="1" x14ac:dyDescent="0.2">
      <c r="A49" s="19" t="s">
        <v>106</v>
      </c>
      <c r="B49" s="39"/>
      <c r="C49" s="39"/>
      <c r="D49" s="33">
        <f>SUM(D50:D56)</f>
        <v>3738681.41</v>
      </c>
      <c r="E49" s="33"/>
      <c r="F49" s="3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0"/>
      <c r="S49" s="40"/>
      <c r="T49" s="40"/>
      <c r="U49" s="40"/>
      <c r="V49" s="40"/>
      <c r="W49" s="40"/>
      <c r="X49" s="40"/>
      <c r="Y49" s="40"/>
      <c r="Z49" s="40"/>
      <c r="AA49" s="40">
        <f>SUM(AA50:AA56)</f>
        <v>3738681.41</v>
      </c>
      <c r="AB49" s="40">
        <f>SUM(AB50:AB56)</f>
        <v>3738681.41</v>
      </c>
      <c r="AC49" s="40">
        <f t="shared" ref="AC49:AE49" si="5">SUM(AC50:AC56)</f>
        <v>3738681.41</v>
      </c>
      <c r="AD49" s="40">
        <f t="shared" si="5"/>
        <v>3738681.41</v>
      </c>
      <c r="AE49" s="40">
        <f t="shared" si="5"/>
        <v>3738681.41</v>
      </c>
      <c r="AF49" s="33">
        <f>SUM(AC49-AE49)</f>
        <v>0</v>
      </c>
    </row>
    <row r="50" spans="1:32" s="13" customFormat="1" ht="27.75" customHeight="1" x14ac:dyDescent="0.2">
      <c r="A50" s="19" t="s">
        <v>107</v>
      </c>
      <c r="B50" s="39" t="s">
        <v>112</v>
      </c>
      <c r="C50" s="39" t="s">
        <v>116</v>
      </c>
      <c r="D50" s="33">
        <v>599950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0"/>
      <c r="S50" s="40"/>
      <c r="T50" s="40"/>
      <c r="U50" s="40"/>
      <c r="V50" s="40"/>
      <c r="W50" s="40"/>
      <c r="X50" s="40"/>
      <c r="Y50" s="40"/>
      <c r="Z50" s="40"/>
      <c r="AA50" s="33">
        <v>599950</v>
      </c>
      <c r="AB50" s="33">
        <v>599950</v>
      </c>
      <c r="AC50" s="33">
        <f t="shared" ref="AC50:AC56" si="6">SUM(D50)</f>
        <v>599950</v>
      </c>
      <c r="AD50" s="33">
        <f>SUM(AA50)</f>
        <v>599950</v>
      </c>
      <c r="AE50" s="33">
        <f>SUM(AB50)</f>
        <v>599950</v>
      </c>
      <c r="AF50" s="33"/>
    </row>
    <row r="51" spans="1:32" s="13" customFormat="1" ht="29.25" customHeight="1" x14ac:dyDescent="0.2">
      <c r="A51" s="19" t="s">
        <v>109</v>
      </c>
      <c r="B51" s="39" t="s">
        <v>113</v>
      </c>
      <c r="C51" s="39" t="s">
        <v>117</v>
      </c>
      <c r="D51" s="33">
        <v>599697.80000000005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0"/>
      <c r="S51" s="40"/>
      <c r="T51" s="40"/>
      <c r="U51" s="40"/>
      <c r="V51" s="40"/>
      <c r="W51" s="40"/>
      <c r="X51" s="40"/>
      <c r="Y51" s="40"/>
      <c r="Z51" s="40"/>
      <c r="AA51" s="33">
        <v>599697.80000000005</v>
      </c>
      <c r="AB51" s="33">
        <v>599697.80000000005</v>
      </c>
      <c r="AC51" s="33">
        <f t="shared" si="6"/>
        <v>599697.80000000005</v>
      </c>
      <c r="AD51" s="33">
        <f t="shared" ref="AD51:AE56" si="7">SUM(AA51)</f>
        <v>599697.80000000005</v>
      </c>
      <c r="AE51" s="33">
        <f t="shared" si="7"/>
        <v>599697.80000000005</v>
      </c>
      <c r="AF51" s="33"/>
    </row>
    <row r="52" spans="1:32" s="13" customFormat="1" ht="29.25" customHeight="1" x14ac:dyDescent="0.2">
      <c r="A52" s="19" t="s">
        <v>110</v>
      </c>
      <c r="B52" s="39" t="s">
        <v>114</v>
      </c>
      <c r="C52" s="39" t="s">
        <v>117</v>
      </c>
      <c r="D52" s="33">
        <v>206987.02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0"/>
      <c r="S52" s="40"/>
      <c r="T52" s="40"/>
      <c r="U52" s="40"/>
      <c r="V52" s="40"/>
      <c r="W52" s="40"/>
      <c r="X52" s="40"/>
      <c r="Y52" s="40"/>
      <c r="Z52" s="40"/>
      <c r="AA52" s="33">
        <v>206987.02</v>
      </c>
      <c r="AB52" s="33">
        <v>206987.02</v>
      </c>
      <c r="AC52" s="33">
        <f t="shared" si="6"/>
        <v>206987.02</v>
      </c>
      <c r="AD52" s="33">
        <f t="shared" si="7"/>
        <v>206987.02</v>
      </c>
      <c r="AE52" s="33">
        <f t="shared" si="7"/>
        <v>206987.02</v>
      </c>
      <c r="AF52" s="33"/>
    </row>
    <row r="53" spans="1:32" s="13" customFormat="1" ht="29.25" customHeight="1" x14ac:dyDescent="0.2">
      <c r="A53" s="19" t="s">
        <v>111</v>
      </c>
      <c r="B53" s="39" t="s">
        <v>115</v>
      </c>
      <c r="C53" s="39" t="s">
        <v>117</v>
      </c>
      <c r="D53" s="33">
        <v>593406.54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0"/>
      <c r="S53" s="40"/>
      <c r="T53" s="40"/>
      <c r="U53" s="40"/>
      <c r="V53" s="40"/>
      <c r="W53" s="40"/>
      <c r="X53" s="40"/>
      <c r="Y53" s="40"/>
      <c r="Z53" s="40"/>
      <c r="AA53" s="33">
        <v>593406.54</v>
      </c>
      <c r="AB53" s="33">
        <v>593406.54</v>
      </c>
      <c r="AC53" s="33">
        <f t="shared" si="6"/>
        <v>593406.54</v>
      </c>
      <c r="AD53" s="33">
        <f t="shared" si="7"/>
        <v>593406.54</v>
      </c>
      <c r="AE53" s="33">
        <f t="shared" si="7"/>
        <v>593406.54</v>
      </c>
      <c r="AF53" s="33"/>
    </row>
    <row r="54" spans="1:32" s="13" customFormat="1" ht="29.25" customHeight="1" x14ac:dyDescent="0.2">
      <c r="A54" s="19" t="s">
        <v>120</v>
      </c>
      <c r="B54" s="39" t="s">
        <v>121</v>
      </c>
      <c r="C54" s="39" t="s">
        <v>123</v>
      </c>
      <c r="D54" s="33">
        <v>599994.47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0"/>
      <c r="S54" s="40"/>
      <c r="T54" s="40"/>
      <c r="U54" s="40"/>
      <c r="V54" s="40"/>
      <c r="W54" s="40"/>
      <c r="X54" s="40"/>
      <c r="Y54" s="40"/>
      <c r="Z54" s="40"/>
      <c r="AA54" s="33">
        <v>599994.47</v>
      </c>
      <c r="AB54" s="33">
        <v>599994.47</v>
      </c>
      <c r="AC54" s="33">
        <f t="shared" si="6"/>
        <v>599994.47</v>
      </c>
      <c r="AD54" s="33">
        <f t="shared" si="7"/>
        <v>599994.47</v>
      </c>
      <c r="AE54" s="33">
        <f t="shared" si="7"/>
        <v>599994.47</v>
      </c>
      <c r="AF54" s="33"/>
    </row>
    <row r="55" spans="1:32" s="13" customFormat="1" ht="29.25" customHeight="1" x14ac:dyDescent="0.2">
      <c r="A55" s="19" t="s">
        <v>120</v>
      </c>
      <c r="B55" s="39" t="s">
        <v>122</v>
      </c>
      <c r="C55" s="39" t="s">
        <v>123</v>
      </c>
      <c r="D55" s="33">
        <v>599851.04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0"/>
      <c r="S55" s="40"/>
      <c r="T55" s="40"/>
      <c r="U55" s="40"/>
      <c r="V55" s="40"/>
      <c r="W55" s="40"/>
      <c r="X55" s="40"/>
      <c r="Y55" s="40"/>
      <c r="Z55" s="40"/>
      <c r="AA55" s="33">
        <v>599851.04</v>
      </c>
      <c r="AB55" s="33">
        <v>599851.04</v>
      </c>
      <c r="AC55" s="33">
        <f t="shared" si="6"/>
        <v>599851.04</v>
      </c>
      <c r="AD55" s="33">
        <f t="shared" si="7"/>
        <v>599851.04</v>
      </c>
      <c r="AE55" s="33">
        <f t="shared" si="7"/>
        <v>599851.04</v>
      </c>
      <c r="AF55" s="33"/>
    </row>
    <row r="56" spans="1:32" s="13" customFormat="1" ht="29.25" customHeight="1" x14ac:dyDescent="0.2">
      <c r="A56" s="19" t="s">
        <v>108</v>
      </c>
      <c r="B56" s="39" t="s">
        <v>124</v>
      </c>
      <c r="C56" s="39" t="s">
        <v>123</v>
      </c>
      <c r="D56" s="33">
        <v>538794.54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0"/>
      <c r="S56" s="40"/>
      <c r="T56" s="40"/>
      <c r="U56" s="40"/>
      <c r="V56" s="40"/>
      <c r="W56" s="40"/>
      <c r="X56" s="40"/>
      <c r="Y56" s="40"/>
      <c r="Z56" s="40"/>
      <c r="AA56" s="33">
        <v>538794.54</v>
      </c>
      <c r="AB56" s="33">
        <v>538794.54</v>
      </c>
      <c r="AC56" s="33">
        <f t="shared" si="6"/>
        <v>538794.54</v>
      </c>
      <c r="AD56" s="33">
        <f t="shared" si="7"/>
        <v>538794.54</v>
      </c>
      <c r="AE56" s="33">
        <f t="shared" si="7"/>
        <v>538794.54</v>
      </c>
      <c r="AF56" s="33"/>
    </row>
    <row r="57" spans="1:32" s="13" customFormat="1" ht="29.25" customHeight="1" x14ac:dyDescent="0.2">
      <c r="A57" s="19" t="s">
        <v>57</v>
      </c>
      <c r="B57" s="39"/>
      <c r="C57" s="39"/>
      <c r="D57" s="3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3"/>
      <c r="AD57" s="40">
        <v>1500915.12</v>
      </c>
      <c r="AE57" s="20"/>
      <c r="AF57" s="22"/>
    </row>
    <row r="58" spans="1:32" s="13" customFormat="1" ht="57.6" customHeight="1" x14ac:dyDescent="0.2">
      <c r="A58" s="19" t="s">
        <v>118</v>
      </c>
      <c r="B58" s="39"/>
      <c r="C58" s="39"/>
      <c r="D58" s="3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3"/>
      <c r="AD58" s="33">
        <v>1738640.05</v>
      </c>
      <c r="AE58" s="33"/>
      <c r="AF58" s="33"/>
    </row>
    <row r="59" spans="1:32" s="13" customFormat="1" ht="33" customHeight="1" x14ac:dyDescent="0.2">
      <c r="A59" s="19" t="s">
        <v>128</v>
      </c>
      <c r="B59" s="39"/>
      <c r="C59" s="39"/>
      <c r="D59" s="3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33"/>
      <c r="AD59" s="33">
        <v>8811</v>
      </c>
      <c r="AE59" s="22"/>
      <c r="AF59" s="33"/>
    </row>
    <row r="60" spans="1:32" s="13" customFormat="1" ht="31.5" customHeight="1" x14ac:dyDescent="0.2">
      <c r="A60" s="19" t="s">
        <v>129</v>
      </c>
      <c r="B60" s="39"/>
      <c r="C60" s="39"/>
      <c r="D60" s="3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33"/>
      <c r="AD60" s="33">
        <v>8811</v>
      </c>
      <c r="AE60" s="22"/>
      <c r="AF60" s="33"/>
    </row>
    <row r="61" spans="1:32" s="13" customFormat="1" ht="26.45" customHeight="1" x14ac:dyDescent="0.2">
      <c r="A61" s="19" t="s">
        <v>130</v>
      </c>
      <c r="B61" s="39"/>
      <c r="C61" s="39"/>
      <c r="D61" s="3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33"/>
      <c r="AD61" s="40">
        <v>-8811</v>
      </c>
      <c r="AE61" s="20"/>
      <c r="AF61" s="22"/>
    </row>
    <row r="62" spans="1:32" s="13" customFormat="1" ht="16.899999999999999" customHeight="1" x14ac:dyDescent="0.2">
      <c r="A62" s="19"/>
      <c r="B62" s="39"/>
      <c r="C62" s="39"/>
      <c r="D62" s="3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3"/>
      <c r="AD62" s="40"/>
      <c r="AE62" s="20"/>
      <c r="AF62" s="22"/>
    </row>
    <row r="63" spans="1:32" x14ac:dyDescent="0.25">
      <c r="A63" s="41" t="s">
        <v>21</v>
      </c>
      <c r="B63" s="22"/>
      <c r="C63" s="21"/>
      <c r="D63" s="22">
        <f>SUM(D6+D8+D11+D13+D15+D17+D19+D35+D38+D40+D46+D49+D48)</f>
        <v>57792077.24000001</v>
      </c>
      <c r="E63" s="22">
        <f t="shared" ref="E63:R63" si="8">SUM(E6+E8+E11+E13+E15+E17+E19+E35+E40+E46+E57+E38+E59+E49+E58)</f>
        <v>33315004.460000001</v>
      </c>
      <c r="F63" s="22">
        <f t="shared" si="8"/>
        <v>15746644.030000001</v>
      </c>
      <c r="G63" s="22">
        <f t="shared" si="8"/>
        <v>9800825.3599999994</v>
      </c>
      <c r="H63" s="22">
        <f t="shared" si="8"/>
        <v>9800825.3599999994</v>
      </c>
      <c r="I63" s="22">
        <f t="shared" si="8"/>
        <v>3737036.44</v>
      </c>
      <c r="J63" s="22">
        <f t="shared" si="8"/>
        <v>2975050</v>
      </c>
      <c r="K63" s="22">
        <f t="shared" si="8"/>
        <v>3200000</v>
      </c>
      <c r="L63" s="22">
        <f t="shared" si="8"/>
        <v>3200000</v>
      </c>
      <c r="M63" s="22">
        <f t="shared" si="8"/>
        <v>139259</v>
      </c>
      <c r="N63" s="22">
        <f t="shared" si="8"/>
        <v>139259</v>
      </c>
      <c r="O63" s="22">
        <f t="shared" si="8"/>
        <v>588726</v>
      </c>
      <c r="P63" s="22">
        <f t="shared" si="8"/>
        <v>588726</v>
      </c>
      <c r="Q63" s="22">
        <f t="shared" si="8"/>
        <v>1399569.66</v>
      </c>
      <c r="R63" s="22">
        <f t="shared" si="8"/>
        <v>1399569.66</v>
      </c>
      <c r="S63" s="22">
        <f>SUM(S6+S8+S11+S13+S15+S17+S19+S35+S40+S46+S57+S38+S59+S49+S58+S48)</f>
        <v>16665509.24</v>
      </c>
      <c r="T63" s="22">
        <f t="shared" ref="T63:AB63" si="9">SUM(T6+T8+T11+T13+T15+T17+T19+T35+T40+T46+T57+T38+T59+T49+T58)</f>
        <v>15236691.24</v>
      </c>
      <c r="U63" s="22">
        <f t="shared" si="9"/>
        <v>122477.54</v>
      </c>
      <c r="V63" s="22">
        <f t="shared" si="9"/>
        <v>122477.54</v>
      </c>
      <c r="W63" s="22">
        <f t="shared" si="9"/>
        <v>24589.759999999998</v>
      </c>
      <c r="X63" s="22">
        <f t="shared" si="9"/>
        <v>24589.759999999998</v>
      </c>
      <c r="Y63" s="22">
        <f t="shared" si="9"/>
        <v>35000</v>
      </c>
      <c r="Z63" s="22">
        <f t="shared" si="9"/>
        <v>35000</v>
      </c>
      <c r="AA63" s="22">
        <f t="shared" si="9"/>
        <v>3738681.41</v>
      </c>
      <c r="AB63" s="22">
        <f t="shared" si="9"/>
        <v>3738681.41</v>
      </c>
      <c r="AC63" s="22">
        <f>SUM(AC6+AC8+AC11+AC13+AC15+AC17+AC19+AC35+AC38+AC40+AC46+AC49+AC48)</f>
        <v>54436332</v>
      </c>
      <c r="AD63" s="22">
        <f>SUM(AD6+AD8+AD11+AD13+AD15+AD17+AD19+AD35+AD40+AD46+AD57+AD38+AD59+AD49+AD58+AD60+AD61)</f>
        <v>74586227.039999992</v>
      </c>
      <c r="AE63" s="22">
        <f>SUM(AE6+AE8+AE11+AE13+AE15+AE17+AE19+AE35+AE40+AE46+AE57+AE38+AE59+AE49)</f>
        <v>53007514</v>
      </c>
      <c r="AF63" s="22">
        <f>SUM(AF6+AF8+AF11+AF13+AF15+AF17+AF19+AF36+AF40+AF46+AF38+AF48)</f>
        <v>1428817.9999999991</v>
      </c>
    </row>
    <row r="64" spans="1:32" x14ac:dyDescent="0.25">
      <c r="A64" s="41" t="s">
        <v>22</v>
      </c>
      <c r="B64" s="15"/>
      <c r="C64" s="15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x14ac:dyDescent="0.25">
      <c r="A65" s="41" t="s">
        <v>18</v>
      </c>
      <c r="B65" s="15"/>
      <c r="C65" s="21"/>
      <c r="D65" s="22">
        <f t="shared" ref="D65:AE65" si="10">SUM(D7+D9)</f>
        <v>6999523.9700000007</v>
      </c>
      <c r="E65" s="22">
        <f t="shared" si="10"/>
        <v>3800000</v>
      </c>
      <c r="F65" s="22">
        <f t="shared" si="10"/>
        <v>3105372.23</v>
      </c>
      <c r="G65" s="22">
        <f t="shared" si="10"/>
        <v>0</v>
      </c>
      <c r="H65" s="22">
        <f t="shared" si="10"/>
        <v>0</v>
      </c>
      <c r="I65" s="22">
        <f t="shared" si="10"/>
        <v>0</v>
      </c>
      <c r="J65" s="22">
        <f t="shared" si="10"/>
        <v>0</v>
      </c>
      <c r="K65" s="22">
        <f t="shared" si="10"/>
        <v>3200000</v>
      </c>
      <c r="L65" s="22">
        <f t="shared" si="10"/>
        <v>3200000</v>
      </c>
      <c r="M65" s="22">
        <f t="shared" si="10"/>
        <v>0</v>
      </c>
      <c r="N65" s="22">
        <f t="shared" si="10"/>
        <v>0</v>
      </c>
      <c r="O65" s="22">
        <f t="shared" si="10"/>
        <v>0</v>
      </c>
      <c r="P65" s="22">
        <f t="shared" si="10"/>
        <v>0</v>
      </c>
      <c r="Q65" s="22">
        <f t="shared" si="10"/>
        <v>0</v>
      </c>
      <c r="R65" s="22">
        <f t="shared" si="10"/>
        <v>0</v>
      </c>
      <c r="S65" s="22">
        <f t="shared" si="10"/>
        <v>0</v>
      </c>
      <c r="T65" s="22">
        <f t="shared" si="10"/>
        <v>0</v>
      </c>
      <c r="U65" s="22">
        <f t="shared" si="10"/>
        <v>0</v>
      </c>
      <c r="V65" s="22">
        <f t="shared" si="10"/>
        <v>0</v>
      </c>
      <c r="W65" s="22">
        <f t="shared" si="10"/>
        <v>0</v>
      </c>
      <c r="X65" s="22">
        <f t="shared" si="10"/>
        <v>0</v>
      </c>
      <c r="Y65" s="22">
        <f t="shared" si="10"/>
        <v>0</v>
      </c>
      <c r="Z65" s="22">
        <f t="shared" si="10"/>
        <v>0</v>
      </c>
      <c r="AA65" s="22">
        <f t="shared" si="10"/>
        <v>0</v>
      </c>
      <c r="AB65" s="22">
        <f t="shared" si="10"/>
        <v>0</v>
      </c>
      <c r="AC65" s="22">
        <f t="shared" si="10"/>
        <v>6999523.9700000007</v>
      </c>
      <c r="AD65" s="22">
        <f t="shared" si="10"/>
        <v>7000000</v>
      </c>
      <c r="AE65" s="22">
        <f t="shared" si="10"/>
        <v>6305372.2300000004</v>
      </c>
      <c r="AF65" s="22"/>
    </row>
    <row r="66" spans="1:32" x14ac:dyDescent="0.25">
      <c r="A66" s="41" t="s">
        <v>19</v>
      </c>
      <c r="B66" s="22"/>
      <c r="C66" s="21"/>
      <c r="D66" s="22">
        <f>SUM(D12+D14+D16+D18+D20)</f>
        <v>16145614.66</v>
      </c>
      <c r="E66" s="22">
        <f t="shared" ref="E66:AB66" si="11">SUM(E10+E12+E14+E16+E18+E20+E21)</f>
        <v>10318231.4</v>
      </c>
      <c r="F66" s="22">
        <f t="shared" si="11"/>
        <v>3190676.74</v>
      </c>
      <c r="G66" s="22">
        <f t="shared" si="11"/>
        <v>0</v>
      </c>
      <c r="H66" s="22">
        <f t="shared" si="11"/>
        <v>0</v>
      </c>
      <c r="I66" s="22">
        <f t="shared" si="11"/>
        <v>0</v>
      </c>
      <c r="J66" s="22">
        <f t="shared" si="11"/>
        <v>0</v>
      </c>
      <c r="K66" s="22">
        <f t="shared" si="11"/>
        <v>0</v>
      </c>
      <c r="L66" s="22">
        <f t="shared" si="11"/>
        <v>0</v>
      </c>
      <c r="M66" s="22">
        <f t="shared" si="11"/>
        <v>139259</v>
      </c>
      <c r="N66" s="22">
        <f t="shared" si="11"/>
        <v>139259</v>
      </c>
      <c r="O66" s="22">
        <f t="shared" si="11"/>
        <v>588726</v>
      </c>
      <c r="P66" s="22">
        <f t="shared" si="11"/>
        <v>588726</v>
      </c>
      <c r="Q66" s="22">
        <f t="shared" si="11"/>
        <v>1399569.66</v>
      </c>
      <c r="R66" s="22">
        <f t="shared" si="11"/>
        <v>1399569.66</v>
      </c>
      <c r="S66" s="22">
        <f t="shared" si="11"/>
        <v>0</v>
      </c>
      <c r="T66" s="22">
        <f t="shared" si="11"/>
        <v>0</v>
      </c>
      <c r="U66" s="22">
        <f t="shared" si="11"/>
        <v>0</v>
      </c>
      <c r="V66" s="22">
        <f t="shared" si="11"/>
        <v>0</v>
      </c>
      <c r="W66" s="22">
        <f t="shared" si="11"/>
        <v>0</v>
      </c>
      <c r="X66" s="22">
        <f t="shared" si="11"/>
        <v>0</v>
      </c>
      <c r="Y66" s="22">
        <f t="shared" si="11"/>
        <v>0</v>
      </c>
      <c r="Z66" s="22">
        <f t="shared" si="11"/>
        <v>0</v>
      </c>
      <c r="AA66" s="22">
        <f t="shared" si="11"/>
        <v>0</v>
      </c>
      <c r="AB66" s="22">
        <f t="shared" si="11"/>
        <v>0</v>
      </c>
      <c r="AC66" s="22">
        <f>SUM(AC12+AC14+AC16+AC18+AC20)</f>
        <v>12789869.66</v>
      </c>
      <c r="AD66" s="22">
        <f>SUM(AD10+AD12+AD14+AD16+AD18+AD20+AD21)</f>
        <v>12445786.060000001</v>
      </c>
      <c r="AE66" s="22">
        <f>SUM(AE10+AE12+AE14+AE16+AE18+AE20+AE21)</f>
        <v>5318231.4000000004</v>
      </c>
      <c r="AF66" s="22"/>
    </row>
    <row r="67" spans="1:32" x14ac:dyDescent="0.25">
      <c r="A67" s="41" t="s">
        <v>23</v>
      </c>
      <c r="B67" s="15"/>
      <c r="C67" s="21"/>
      <c r="D67" s="22"/>
      <c r="E67" s="22">
        <f t="shared" ref="E67:AB67" si="12">SUM(E22+E23)</f>
        <v>15921500</v>
      </c>
      <c r="F67" s="22">
        <f t="shared" si="12"/>
        <v>6175322</v>
      </c>
      <c r="G67" s="22">
        <f t="shared" si="12"/>
        <v>0</v>
      </c>
      <c r="H67" s="22">
        <f t="shared" si="12"/>
        <v>0</v>
      </c>
      <c r="I67" s="22">
        <f t="shared" si="12"/>
        <v>0</v>
      </c>
      <c r="J67" s="22">
        <f t="shared" si="12"/>
        <v>0</v>
      </c>
      <c r="K67" s="22">
        <f t="shared" si="12"/>
        <v>0</v>
      </c>
      <c r="L67" s="22">
        <f t="shared" si="12"/>
        <v>0</v>
      </c>
      <c r="M67" s="22">
        <f t="shared" si="12"/>
        <v>0</v>
      </c>
      <c r="N67" s="22">
        <f t="shared" si="12"/>
        <v>0</v>
      </c>
      <c r="O67" s="22">
        <f t="shared" si="12"/>
        <v>0</v>
      </c>
      <c r="P67" s="22">
        <f t="shared" si="12"/>
        <v>0</v>
      </c>
      <c r="Q67" s="22">
        <f t="shared" si="12"/>
        <v>0</v>
      </c>
      <c r="R67" s="22">
        <f t="shared" si="12"/>
        <v>0</v>
      </c>
      <c r="S67" s="22">
        <f t="shared" si="12"/>
        <v>0</v>
      </c>
      <c r="T67" s="22">
        <f t="shared" si="12"/>
        <v>0</v>
      </c>
      <c r="U67" s="22">
        <f t="shared" si="12"/>
        <v>0</v>
      </c>
      <c r="V67" s="22">
        <f t="shared" si="12"/>
        <v>0</v>
      </c>
      <c r="W67" s="22">
        <f t="shared" si="12"/>
        <v>0</v>
      </c>
      <c r="X67" s="22">
        <f t="shared" si="12"/>
        <v>0</v>
      </c>
      <c r="Y67" s="22">
        <f t="shared" si="12"/>
        <v>0</v>
      </c>
      <c r="Z67" s="22">
        <f t="shared" si="12"/>
        <v>0</v>
      </c>
      <c r="AA67" s="22">
        <f t="shared" si="12"/>
        <v>0</v>
      </c>
      <c r="AB67" s="22">
        <f t="shared" si="12"/>
        <v>0</v>
      </c>
      <c r="AC67" s="22"/>
      <c r="AD67" s="22">
        <f>SUM(AD22+AD23)</f>
        <v>15921500</v>
      </c>
      <c r="AE67" s="22">
        <f>SUM(AE22+AE23)</f>
        <v>6175322</v>
      </c>
      <c r="AF67" s="22"/>
    </row>
    <row r="68" spans="1:32" x14ac:dyDescent="0.25">
      <c r="A68" s="41" t="s">
        <v>20</v>
      </c>
      <c r="B68" s="15"/>
      <c r="C68" s="15"/>
      <c r="D68" s="22">
        <f>SUM(D28)</f>
        <v>1835437</v>
      </c>
      <c r="E68" s="22">
        <f t="shared" ref="E68:AB68" si="13">SUM(E24+E28)</f>
        <v>1990468</v>
      </c>
      <c r="F68" s="22">
        <f t="shared" si="13"/>
        <v>1990468</v>
      </c>
      <c r="G68" s="22">
        <f t="shared" si="13"/>
        <v>0</v>
      </c>
      <c r="H68" s="22">
        <f t="shared" si="13"/>
        <v>0</v>
      </c>
      <c r="I68" s="22">
        <f t="shared" si="13"/>
        <v>777551</v>
      </c>
      <c r="J68" s="22">
        <f t="shared" si="13"/>
        <v>624384</v>
      </c>
      <c r="K68" s="22">
        <f t="shared" si="13"/>
        <v>0</v>
      </c>
      <c r="L68" s="22">
        <f t="shared" si="13"/>
        <v>0</v>
      </c>
      <c r="M68" s="22">
        <f t="shared" si="13"/>
        <v>0</v>
      </c>
      <c r="N68" s="22">
        <f t="shared" si="13"/>
        <v>0</v>
      </c>
      <c r="O68" s="22">
        <f t="shared" si="13"/>
        <v>0</v>
      </c>
      <c r="P68" s="22">
        <f t="shared" si="13"/>
        <v>0</v>
      </c>
      <c r="Q68" s="22">
        <f t="shared" si="13"/>
        <v>0</v>
      </c>
      <c r="R68" s="22">
        <f t="shared" si="13"/>
        <v>0</v>
      </c>
      <c r="S68" s="22">
        <f t="shared" si="13"/>
        <v>0</v>
      </c>
      <c r="T68" s="22">
        <f t="shared" si="13"/>
        <v>0</v>
      </c>
      <c r="U68" s="22">
        <f t="shared" si="13"/>
        <v>0</v>
      </c>
      <c r="V68" s="22">
        <f t="shared" si="13"/>
        <v>0</v>
      </c>
      <c r="W68" s="22">
        <f t="shared" si="13"/>
        <v>0</v>
      </c>
      <c r="X68" s="22">
        <f t="shared" si="13"/>
        <v>0</v>
      </c>
      <c r="Y68" s="22">
        <f t="shared" si="13"/>
        <v>0</v>
      </c>
      <c r="Z68" s="22">
        <f t="shared" si="13"/>
        <v>0</v>
      </c>
      <c r="AA68" s="22">
        <f t="shared" si="13"/>
        <v>0</v>
      </c>
      <c r="AB68" s="22">
        <f t="shared" si="13"/>
        <v>0</v>
      </c>
      <c r="AC68" s="22">
        <f>SUM(AC28)</f>
        <v>1835437</v>
      </c>
      <c r="AD68" s="22">
        <f>SUM(AD24+AD28)</f>
        <v>2768019</v>
      </c>
      <c r="AE68" s="22">
        <f>SUM(AE24+AE28)</f>
        <v>2614852</v>
      </c>
      <c r="AF68" s="22"/>
    </row>
    <row r="69" spans="1:32" x14ac:dyDescent="0.25">
      <c r="A69" s="41" t="s">
        <v>36</v>
      </c>
      <c r="B69" s="15"/>
      <c r="C69" s="21"/>
      <c r="D69" s="22">
        <f>D31+D25</f>
        <v>2247703.06</v>
      </c>
      <c r="E69" s="22">
        <f t="shared" ref="E69:AB69" si="14">SUM(E29+E30+E31+E57)</f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  <c r="I69" s="22">
        <f t="shared" si="14"/>
        <v>2173951</v>
      </c>
      <c r="J69" s="22">
        <f t="shared" si="14"/>
        <v>1741846.56</v>
      </c>
      <c r="K69" s="22">
        <f t="shared" si="14"/>
        <v>0</v>
      </c>
      <c r="L69" s="22">
        <f t="shared" si="14"/>
        <v>0</v>
      </c>
      <c r="M69" s="22">
        <f t="shared" si="14"/>
        <v>0</v>
      </c>
      <c r="N69" s="22">
        <f t="shared" si="14"/>
        <v>0</v>
      </c>
      <c r="O69" s="22">
        <f t="shared" si="14"/>
        <v>0</v>
      </c>
      <c r="P69" s="22">
        <f t="shared" si="14"/>
        <v>0</v>
      </c>
      <c r="Q69" s="22">
        <f t="shared" si="14"/>
        <v>0</v>
      </c>
      <c r="R69" s="22">
        <f t="shared" si="14"/>
        <v>0</v>
      </c>
      <c r="S69" s="22">
        <f t="shared" si="14"/>
        <v>0</v>
      </c>
      <c r="T69" s="22">
        <f t="shared" si="14"/>
        <v>0</v>
      </c>
      <c r="U69" s="22">
        <f t="shared" si="14"/>
        <v>0</v>
      </c>
      <c r="V69" s="22">
        <f t="shared" si="14"/>
        <v>0</v>
      </c>
      <c r="W69" s="22">
        <f t="shared" si="14"/>
        <v>0</v>
      </c>
      <c r="X69" s="22">
        <f t="shared" si="14"/>
        <v>0</v>
      </c>
      <c r="Y69" s="22">
        <f t="shared" si="14"/>
        <v>0</v>
      </c>
      <c r="Z69" s="22">
        <f t="shared" si="14"/>
        <v>0</v>
      </c>
      <c r="AA69" s="22">
        <f t="shared" si="14"/>
        <v>0</v>
      </c>
      <c r="AB69" s="22">
        <f t="shared" si="14"/>
        <v>0</v>
      </c>
      <c r="AC69" s="22">
        <f>AC31+AC25</f>
        <v>2247703.06</v>
      </c>
      <c r="AD69" s="22">
        <f>SUM(AD29+AD30+AD31+AD57)</f>
        <v>3674866.12</v>
      </c>
      <c r="AE69" s="22">
        <f>SUM(AE29+AE30+AE31+AE57)</f>
        <v>1741846.56</v>
      </c>
      <c r="AF69" s="22"/>
    </row>
    <row r="70" spans="1:32" hidden="1" x14ac:dyDescent="0.25">
      <c r="A70" s="41" t="s">
        <v>24</v>
      </c>
      <c r="B70" s="15"/>
      <c r="C70" s="21"/>
      <c r="D70" s="22">
        <f>SUM(D63-D65-D66)</f>
        <v>34646938.610000014</v>
      </c>
      <c r="E70" s="22">
        <f t="shared" ref="E70:AB70" si="15">SUM(E63-E65-E66-E67-E68-E69)</f>
        <v>1284805.0600000024</v>
      </c>
      <c r="F70" s="22">
        <f t="shared" si="15"/>
        <v>1284805.0600000005</v>
      </c>
      <c r="G70" s="22">
        <f t="shared" si="15"/>
        <v>9800825.3599999994</v>
      </c>
      <c r="H70" s="22">
        <f t="shared" si="15"/>
        <v>9800825.3599999994</v>
      </c>
      <c r="I70" s="22">
        <f t="shared" si="15"/>
        <v>785534.44</v>
      </c>
      <c r="J70" s="22">
        <f t="shared" si="15"/>
        <v>608819.43999999994</v>
      </c>
      <c r="K70" s="22">
        <f t="shared" si="15"/>
        <v>0</v>
      </c>
      <c r="L70" s="22">
        <f t="shared" si="15"/>
        <v>0</v>
      </c>
      <c r="M70" s="22">
        <f t="shared" si="15"/>
        <v>0</v>
      </c>
      <c r="N70" s="22">
        <f t="shared" si="15"/>
        <v>0</v>
      </c>
      <c r="O70" s="22">
        <f t="shared" si="15"/>
        <v>0</v>
      </c>
      <c r="P70" s="22">
        <f t="shared" si="15"/>
        <v>0</v>
      </c>
      <c r="Q70" s="22">
        <f t="shared" si="15"/>
        <v>0</v>
      </c>
      <c r="R70" s="22">
        <f t="shared" si="15"/>
        <v>0</v>
      </c>
      <c r="S70" s="22">
        <f t="shared" si="15"/>
        <v>16665509.24</v>
      </c>
      <c r="T70" s="22">
        <f t="shared" si="15"/>
        <v>15236691.24</v>
      </c>
      <c r="U70" s="22">
        <f t="shared" si="15"/>
        <v>122477.54</v>
      </c>
      <c r="V70" s="22">
        <f t="shared" si="15"/>
        <v>122477.54</v>
      </c>
      <c r="W70" s="22">
        <f t="shared" si="15"/>
        <v>24589.759999999998</v>
      </c>
      <c r="X70" s="22">
        <f t="shared" si="15"/>
        <v>24589.759999999998</v>
      </c>
      <c r="Y70" s="22">
        <f t="shared" si="15"/>
        <v>35000</v>
      </c>
      <c r="Z70" s="22">
        <f t="shared" si="15"/>
        <v>35000</v>
      </c>
      <c r="AA70" s="22">
        <f t="shared" si="15"/>
        <v>3738681.41</v>
      </c>
      <c r="AB70" s="22">
        <f t="shared" si="15"/>
        <v>3738681.41</v>
      </c>
      <c r="AC70" s="22">
        <f>SUM(AC63-AC65-AC66)</f>
        <v>34646938.370000005</v>
      </c>
      <c r="AD70" s="22">
        <f t="shared" ref="AD70:AE70" si="16">SUM(AD63-AD65-AD66-AD67-AD68-AD69)</f>
        <v>32776055.859999988</v>
      </c>
      <c r="AE70" s="22">
        <f t="shared" si="16"/>
        <v>30851889.809999999</v>
      </c>
      <c r="AF70" s="22"/>
    </row>
    <row r="71" spans="1:32" x14ac:dyDescent="0.25">
      <c r="A71" s="41" t="s">
        <v>56</v>
      </c>
      <c r="B71" s="15"/>
      <c r="C71" s="21"/>
      <c r="D71" s="22">
        <f>SUM(D36+D33+D40+D46+D39+D50+D51+D52+D53+D48)</f>
        <v>28825158.5</v>
      </c>
      <c r="E71" s="22">
        <f t="shared" ref="E71:R71" si="17">SUM(E25+E26+E27+E32+E33+E36+E37+E39+E41+E42+E43+E44+E45+E47+E59+E50+E51+E52+E53+E58)</f>
        <v>1284805.06</v>
      </c>
      <c r="F71" s="22">
        <f t="shared" si="17"/>
        <v>1284805.06</v>
      </c>
      <c r="G71" s="22">
        <f t="shared" si="17"/>
        <v>9800825.3599999994</v>
      </c>
      <c r="H71" s="22">
        <f t="shared" si="17"/>
        <v>9800825.3599999994</v>
      </c>
      <c r="I71" s="22">
        <f t="shared" si="17"/>
        <v>608819.43999999994</v>
      </c>
      <c r="J71" s="22">
        <f t="shared" si="17"/>
        <v>432104.44</v>
      </c>
      <c r="K71" s="22">
        <f t="shared" si="17"/>
        <v>0</v>
      </c>
      <c r="L71" s="22">
        <f t="shared" si="17"/>
        <v>0</v>
      </c>
      <c r="M71" s="22">
        <f t="shared" si="17"/>
        <v>0</v>
      </c>
      <c r="N71" s="22">
        <f t="shared" si="17"/>
        <v>0</v>
      </c>
      <c r="O71" s="22">
        <f t="shared" si="17"/>
        <v>0</v>
      </c>
      <c r="P71" s="22">
        <f t="shared" si="17"/>
        <v>0</v>
      </c>
      <c r="Q71" s="22">
        <f t="shared" si="17"/>
        <v>0</v>
      </c>
      <c r="R71" s="22">
        <f t="shared" si="17"/>
        <v>0</v>
      </c>
      <c r="S71" s="22">
        <f>SUM(S25+S26+S27+S32+S33+S36+S37+S39+S41+S42+S43+S44+S45+S47+S59+S50+S51+S52+S53+S58+S48)</f>
        <v>16665509.24</v>
      </c>
      <c r="T71" s="22">
        <f t="shared" ref="T71:AB71" si="18">SUM(T25+T26+T27+T32+T33+T36+T37+T39+T41+T42+T43+T44+T45+T47+T59+T50+T51+T52+T53+T58)</f>
        <v>15236691.24</v>
      </c>
      <c r="U71" s="22">
        <f t="shared" si="18"/>
        <v>122477.54</v>
      </c>
      <c r="V71" s="22">
        <f t="shared" si="18"/>
        <v>122477.54</v>
      </c>
      <c r="W71" s="22">
        <f t="shared" si="18"/>
        <v>24589.759999999998</v>
      </c>
      <c r="X71" s="22">
        <f t="shared" si="18"/>
        <v>24589.759999999998</v>
      </c>
      <c r="Y71" s="22">
        <f t="shared" si="18"/>
        <v>35000</v>
      </c>
      <c r="Z71" s="22">
        <f t="shared" si="18"/>
        <v>35000</v>
      </c>
      <c r="AA71" s="22">
        <f t="shared" si="18"/>
        <v>2000041.36</v>
      </c>
      <c r="AB71" s="22">
        <f t="shared" si="18"/>
        <v>2000041.36</v>
      </c>
      <c r="AC71" s="22">
        <f>SUM(AC36+AC33+AC40+AC46+AC39+AC50+AC51+AC52+AC53+AC48)</f>
        <v>28825158.259999998</v>
      </c>
      <c r="AD71" s="22">
        <f>SUM(AD25+AD26+AD27+AD32+AD33+AD36+AD37+AD39+AD41+AD42+AD43+AD44+AD45+AD47+AD59+AD50+AD51+AD52+AD53+AD58)</f>
        <v>30860700.809999999</v>
      </c>
      <c r="AE71" s="22">
        <f>SUM(AE25+AE26+AE27+AE32+AE33+AE36+AE37+AE39+AE41+AE42+AE43+AE44+AE45+AE47+AE59+AE50+AE51+AE52+AE53)</f>
        <v>28936534.759999998</v>
      </c>
      <c r="AF71" s="22"/>
    </row>
    <row r="72" spans="1:32" x14ac:dyDescent="0.25">
      <c r="A72" s="41" t="s">
        <v>125</v>
      </c>
      <c r="B72" s="15"/>
      <c r="C72" s="21"/>
      <c r="D72" s="22">
        <f>SUM(D54+D55+D56)</f>
        <v>1738640.05</v>
      </c>
      <c r="E72" s="22">
        <f t="shared" ref="E72:AB72" si="19">SUM(E54+E55+E56+E34)</f>
        <v>0</v>
      </c>
      <c r="F72" s="22">
        <f t="shared" si="19"/>
        <v>0</v>
      </c>
      <c r="G72" s="22">
        <f t="shared" si="19"/>
        <v>0</v>
      </c>
      <c r="H72" s="22">
        <f t="shared" si="19"/>
        <v>0</v>
      </c>
      <c r="I72" s="22">
        <f t="shared" si="19"/>
        <v>176715</v>
      </c>
      <c r="J72" s="22">
        <f t="shared" si="19"/>
        <v>176715</v>
      </c>
      <c r="K72" s="22">
        <f t="shared" si="19"/>
        <v>0</v>
      </c>
      <c r="L72" s="22">
        <f t="shared" si="19"/>
        <v>0</v>
      </c>
      <c r="M72" s="22">
        <f t="shared" si="19"/>
        <v>0</v>
      </c>
      <c r="N72" s="22">
        <f t="shared" si="19"/>
        <v>0</v>
      </c>
      <c r="O72" s="22">
        <f t="shared" si="19"/>
        <v>0</v>
      </c>
      <c r="P72" s="22">
        <f t="shared" si="19"/>
        <v>0</v>
      </c>
      <c r="Q72" s="22">
        <f t="shared" si="19"/>
        <v>0</v>
      </c>
      <c r="R72" s="22">
        <f t="shared" si="19"/>
        <v>0</v>
      </c>
      <c r="S72" s="22">
        <f t="shared" si="19"/>
        <v>0</v>
      </c>
      <c r="T72" s="22">
        <f t="shared" si="19"/>
        <v>0</v>
      </c>
      <c r="U72" s="22">
        <f t="shared" si="19"/>
        <v>0</v>
      </c>
      <c r="V72" s="22">
        <f t="shared" si="19"/>
        <v>0</v>
      </c>
      <c r="W72" s="22">
        <f t="shared" si="19"/>
        <v>0</v>
      </c>
      <c r="X72" s="22">
        <f t="shared" si="19"/>
        <v>0</v>
      </c>
      <c r="Y72" s="22">
        <f t="shared" si="19"/>
        <v>0</v>
      </c>
      <c r="Z72" s="22">
        <f t="shared" si="19"/>
        <v>0</v>
      </c>
      <c r="AA72" s="22">
        <f t="shared" si="19"/>
        <v>1738640.05</v>
      </c>
      <c r="AB72" s="22">
        <f t="shared" si="19"/>
        <v>1738640.05</v>
      </c>
      <c r="AC72" s="22">
        <f>SUM(AC54+AC55+AC56)</f>
        <v>1738640.05</v>
      </c>
      <c r="AD72" s="22">
        <f>SUM(AD54+AD55+AD56+AD34+AD60+AD61)</f>
        <v>1915355.05</v>
      </c>
      <c r="AE72" s="22">
        <f>SUM(AE54+AE55+AE56+AE34)</f>
        <v>1915355.05</v>
      </c>
      <c r="AF72" s="22"/>
    </row>
    <row r="73" spans="1:32" ht="15.75" hidden="1" x14ac:dyDescent="0.25">
      <c r="A73" s="42"/>
      <c r="B73" s="43"/>
      <c r="C73" s="44"/>
      <c r="D73" s="45">
        <f>SUM(D63-D65-D66-D67-D68-D69-D71-D72)</f>
        <v>1.5599653124809265E-8</v>
      </c>
      <c r="E73" s="45">
        <f t="shared" ref="E73:AE73" si="20">SUM(E63-E65-E66-E67-E68-E69-E71-E72)</f>
        <v>2.3283064365386963E-9</v>
      </c>
      <c r="F73" s="45">
        <f t="shared" si="20"/>
        <v>4.6566128730773926E-10</v>
      </c>
      <c r="G73" s="45">
        <f t="shared" si="20"/>
        <v>0</v>
      </c>
      <c r="H73" s="45">
        <f t="shared" si="20"/>
        <v>0</v>
      </c>
      <c r="I73" s="45">
        <f t="shared" si="20"/>
        <v>0</v>
      </c>
      <c r="J73" s="45">
        <f t="shared" si="20"/>
        <v>-5.8207660913467407E-11</v>
      </c>
      <c r="K73" s="45">
        <f t="shared" si="20"/>
        <v>0</v>
      </c>
      <c r="L73" s="45">
        <f t="shared" si="20"/>
        <v>0</v>
      </c>
      <c r="M73" s="45">
        <f t="shared" si="20"/>
        <v>0</v>
      </c>
      <c r="N73" s="45">
        <f t="shared" si="20"/>
        <v>0</v>
      </c>
      <c r="O73" s="45">
        <f t="shared" si="20"/>
        <v>0</v>
      </c>
      <c r="P73" s="45">
        <f t="shared" si="20"/>
        <v>0</v>
      </c>
      <c r="Q73" s="45">
        <f t="shared" si="20"/>
        <v>0</v>
      </c>
      <c r="R73" s="45">
        <f t="shared" si="20"/>
        <v>0</v>
      </c>
      <c r="S73" s="45">
        <f t="shared" si="20"/>
        <v>0</v>
      </c>
      <c r="T73" s="45">
        <f t="shared" si="20"/>
        <v>0</v>
      </c>
      <c r="U73" s="45">
        <f t="shared" si="20"/>
        <v>0</v>
      </c>
      <c r="V73" s="45">
        <f t="shared" si="20"/>
        <v>0</v>
      </c>
      <c r="W73" s="45">
        <f t="shared" si="20"/>
        <v>0</v>
      </c>
      <c r="X73" s="45">
        <f t="shared" si="20"/>
        <v>0</v>
      </c>
      <c r="Y73" s="45">
        <f t="shared" si="20"/>
        <v>0</v>
      </c>
      <c r="Z73" s="45">
        <f t="shared" si="20"/>
        <v>0</v>
      </c>
      <c r="AA73" s="45">
        <f t="shared" si="20"/>
        <v>0</v>
      </c>
      <c r="AB73" s="45">
        <f t="shared" si="20"/>
        <v>0</v>
      </c>
      <c r="AC73" s="45">
        <f t="shared" si="20"/>
        <v>8.149072527885437E-9</v>
      </c>
      <c r="AD73" s="45">
        <f t="shared" si="20"/>
        <v>-1.0477378964424133E-8</v>
      </c>
      <c r="AE73" s="45">
        <f t="shared" si="20"/>
        <v>6.9849193096160889E-10</v>
      </c>
      <c r="AF73" s="45"/>
    </row>
    <row r="74" spans="1:32" ht="15.75" hidden="1" x14ac:dyDescent="0.25">
      <c r="A74" s="43" t="s">
        <v>58</v>
      </c>
      <c r="B74" s="43"/>
      <c r="C74" s="44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7"/>
    </row>
    <row r="75" spans="1:32" ht="15.75" x14ac:dyDescent="0.25">
      <c r="A75" s="43"/>
      <c r="B75" s="43"/>
      <c r="C75" s="4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7"/>
    </row>
    <row r="76" spans="1:32" ht="15.75" x14ac:dyDescent="0.25">
      <c r="A76" s="43" t="s">
        <v>101</v>
      </c>
      <c r="B76" s="43"/>
      <c r="C76" s="44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7"/>
    </row>
    <row r="77" spans="1:32" ht="33.6" customHeight="1" x14ac:dyDescent="0.25">
      <c r="A77" s="48" t="s">
        <v>131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6"/>
      <c r="O77" s="46"/>
      <c r="P77" s="46"/>
      <c r="Q77" s="46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7"/>
    </row>
    <row r="78" spans="1:32" ht="15.75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7"/>
    </row>
    <row r="79" spans="1:32" ht="15.75" customHeight="1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</row>
    <row r="80" spans="1:32" ht="10.5" customHeight="1" x14ac:dyDescent="0.25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ht="15.75" hidden="1" customHeight="1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</row>
    <row r="82" spans="1:32" ht="15.75" hidden="1" customHeight="1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</row>
    <row r="83" spans="1:32" ht="15.75" hidden="1" customHeight="1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</row>
    <row r="84" spans="1:32" ht="15.75" hidden="1" customHeight="1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</row>
    <row r="85" spans="1:32" ht="15.75" x14ac:dyDescent="0.25">
      <c r="A85" s="43"/>
      <c r="B85" s="43"/>
      <c r="C85" s="44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52"/>
    </row>
    <row r="86" spans="1:32" ht="15.75" x14ac:dyDescent="0.25">
      <c r="A86" s="43"/>
      <c r="B86" s="43"/>
      <c r="C86" s="4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52"/>
    </row>
  </sheetData>
  <sheetProtection password="C921" sheet="1" objects="1" scenarios="1"/>
  <mergeCells count="60">
    <mergeCell ref="B1:AC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AA3:AB3"/>
    <mergeCell ref="AC3:AE3"/>
    <mergeCell ref="AF3:AF4"/>
    <mergeCell ref="B9:B10"/>
    <mergeCell ref="C9:C10"/>
    <mergeCell ref="D9:D10"/>
    <mergeCell ref="AC9:AC10"/>
    <mergeCell ref="AF9:AF10"/>
    <mergeCell ref="O3:P3"/>
    <mergeCell ref="Q3:R3"/>
    <mergeCell ref="S3:T3"/>
    <mergeCell ref="U3:V3"/>
    <mergeCell ref="W3:X3"/>
    <mergeCell ref="Y3:Z3"/>
    <mergeCell ref="B25:B27"/>
    <mergeCell ref="C25:C27"/>
    <mergeCell ref="D25:D27"/>
    <mergeCell ref="AC25:AC27"/>
    <mergeCell ref="AF25:AF27"/>
    <mergeCell ref="B20:B24"/>
    <mergeCell ref="C20:C24"/>
    <mergeCell ref="D20:D24"/>
    <mergeCell ref="AC20:AC24"/>
    <mergeCell ref="AF20:AF24"/>
    <mergeCell ref="B31:B32"/>
    <mergeCell ref="C31:C32"/>
    <mergeCell ref="D31:D32"/>
    <mergeCell ref="AC31:AC32"/>
    <mergeCell ref="AF31:AF32"/>
    <mergeCell ref="B28:B30"/>
    <mergeCell ref="C28:C30"/>
    <mergeCell ref="D28:D30"/>
    <mergeCell ref="AC28:AC30"/>
    <mergeCell ref="AF28:AF30"/>
    <mergeCell ref="B33:B34"/>
    <mergeCell ref="C33:C34"/>
    <mergeCell ref="D33:D34"/>
    <mergeCell ref="AC33:AC34"/>
    <mergeCell ref="B36:B37"/>
    <mergeCell ref="C36:C37"/>
    <mergeCell ref="D36:D37"/>
    <mergeCell ref="AC36:AC37"/>
    <mergeCell ref="A83:AF83"/>
    <mergeCell ref="A84:AF84"/>
    <mergeCell ref="AF36:AF37"/>
    <mergeCell ref="A77:M77"/>
    <mergeCell ref="A78:S78"/>
    <mergeCell ref="A79:AF79"/>
    <mergeCell ref="A81:AF81"/>
    <mergeCell ref="A82:AF82"/>
  </mergeCells>
  <pageMargins left="0" right="0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</dc:creator>
  <cp:lastModifiedBy>Starceva</cp:lastModifiedBy>
  <cp:lastPrinted>2019-07-04T05:45:12Z</cp:lastPrinted>
  <dcterms:created xsi:type="dcterms:W3CDTF">2015-06-08T11:33:54Z</dcterms:created>
  <dcterms:modified xsi:type="dcterms:W3CDTF">2019-08-23T12:25:05Z</dcterms:modified>
</cp:coreProperties>
</file>